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91" windowWidth="15480" windowHeight="10185" activeTab="4"/>
  </bookViews>
  <sheets>
    <sheet name="units" sheetId="1" r:id="rId1"/>
    <sheet name="bus" sheetId="2" r:id="rId2"/>
    <sheet name="minibus" sheetId="3" r:id="rId3"/>
    <sheet name="taxi" sheetId="4" r:id="rId4"/>
    <sheet name="aaa" sheetId="5" r:id="rId5"/>
    <sheet name="Φύλλο1" sheetId="6" r:id="rId6"/>
  </sheets>
  <definedNames/>
  <calcPr fullCalcOnLoad="1"/>
</workbook>
</file>

<file path=xl/sharedStrings.xml><?xml version="1.0" encoding="utf-8"?>
<sst xmlns="http://schemas.openxmlformats.org/spreadsheetml/2006/main" count="515" uniqueCount="333">
  <si>
    <t>Εντός πόλεως (Γ)</t>
  </si>
  <si>
    <t>Εκτός πόλεως (Β)</t>
  </si>
  <si>
    <t>Χωματόδρομος ή χιόνι (Χ)</t>
  </si>
  <si>
    <t>Μικρή</t>
  </si>
  <si>
    <t>Μεγάλη</t>
  </si>
  <si>
    <t>Εμπορική ταχύτητα (χλμ/ώρα) - Από μεθοδολογία</t>
  </si>
  <si>
    <t>ΠΙΝΑΚΑΣ ΚΟΣΤΟΛΟΓΗΣΗΣ ΔΡΟΜΟΛΟΓΙΟΥ</t>
  </si>
  <si>
    <t>m</t>
  </si>
  <si>
    <t>ΤΜΗΜΑ γραμμής</t>
  </si>
  <si>
    <t>Πρώτο</t>
  </si>
  <si>
    <t>Δεύτερο</t>
  </si>
  <si>
    <t>Τρίτο</t>
  </si>
  <si>
    <t>Σύνολο</t>
  </si>
  <si>
    <t>Είδος οδού</t>
  </si>
  <si>
    <t>Εντός πόλεως</t>
  </si>
  <si>
    <t>Εκτός Πόλεως</t>
  </si>
  <si>
    <t>Κλίση</t>
  </si>
  <si>
    <t>μεγάλη</t>
  </si>
  <si>
    <t>Εμπορική ταχύτητα (χλμ/ώρα)</t>
  </si>
  <si>
    <t>Μήκος (χλμ)</t>
  </si>
  <si>
    <t>Κατανάλωση πετρελαίου (λίτρα/χλμ)</t>
  </si>
  <si>
    <t>Συντελεστές ελαστικών  (αριθμός ανά 1.000 χλμ) - Από μεθοδολογία</t>
  </si>
  <si>
    <t>Μέση τιμή πετρελαίου  (€/λτ)</t>
  </si>
  <si>
    <t xml:space="preserve">Α1. Κόστος καυσίμων  (€)  </t>
  </si>
  <si>
    <t>Συντελεστής ελαστικών  (€/χλμ)</t>
  </si>
  <si>
    <t xml:space="preserve">Α2. Κόστος ελαστικών  (€)  </t>
  </si>
  <si>
    <t>Συντελεστής συντήρησης  (€/χλμ)</t>
  </si>
  <si>
    <t xml:space="preserve">Α3. Κόστος συντήρησης  (€)  </t>
  </si>
  <si>
    <t xml:space="preserve">Λειτουργικό κόστος  (€)  </t>
  </si>
  <si>
    <t xml:space="preserve">Α = Α1 + Α2 + Α3 </t>
  </si>
  <si>
    <t xml:space="preserve">Ωριαίο κόστος οχήματος  (€/ώρα)  </t>
  </si>
  <si>
    <t xml:space="preserve">Β. Κόστος οχήματος  (€)  </t>
  </si>
  <si>
    <t xml:space="preserve">Ωριαίο κόστος οδηγού  (€/ώρα)  </t>
  </si>
  <si>
    <t xml:space="preserve">Γ. Κόστος οδηγού  (€)  </t>
  </si>
  <si>
    <t xml:space="preserve">Δ. Λοιπές δαπάνες  (€)  </t>
  </si>
  <si>
    <t>Δ=0,25 x (A+Β+Γ)</t>
  </si>
  <si>
    <t xml:space="preserve">Ε. Απρόβλεπτα &amp; Κέρδος (€)  </t>
  </si>
  <si>
    <t>Ε= 0,15 x (Α+Β+Γ+Δ)</t>
  </si>
  <si>
    <t xml:space="preserve">Συνολικό κόστος δρομολογίου (€)  </t>
  </si>
  <si>
    <t>ΚΔ= Α+Β+Γ+Δ+Ε</t>
  </si>
  <si>
    <t>Για μικρό λεωφορείο</t>
  </si>
  <si>
    <r>
      <t>ΠΑΡΑΔΟΧΕΣ ΜΟΝΑΔΩΝ ΚΟΣΤΟΛΟΓΗΣΗΣ</t>
    </r>
    <r>
      <rPr>
        <b/>
        <i/>
        <sz val="14"/>
        <rFont val="Arial"/>
        <family val="2"/>
      </rPr>
      <t xml:space="preserve"> </t>
    </r>
    <r>
      <rPr>
        <b/>
        <i/>
        <sz val="10"/>
        <rFont val="Arial"/>
        <family val="2"/>
      </rPr>
      <t>(ποσά σε ευρώ)</t>
    </r>
  </si>
  <si>
    <t>Χιλιομετρικό κόστος ελαστικών  (€/χλμ)</t>
  </si>
  <si>
    <t>Όχημα</t>
  </si>
  <si>
    <t>Μεγάλο λεωφορείο</t>
  </si>
  <si>
    <t>Μικρό λεωφορείο</t>
  </si>
  <si>
    <t>Κλίση οδού</t>
  </si>
  <si>
    <t>Για Ταξί</t>
  </si>
  <si>
    <t>Τιμή</t>
  </si>
  <si>
    <t>ελαστικών</t>
  </si>
  <si>
    <t>Τέλη</t>
  </si>
  <si>
    <t>Κυκλοφορίας</t>
  </si>
  <si>
    <t>Ετήσια</t>
  </si>
  <si>
    <t>Ετήσιο κόστ</t>
  </si>
  <si>
    <t>οδηγού</t>
  </si>
  <si>
    <t>Ωριαίο κοστ</t>
  </si>
  <si>
    <t>* Ωριαίο κόστος οχήματος = Ετήσιο κόστος Οχήματος (ίσο με την Απόσβεση (1/15 της αξίας του αυτοκινήτου) + Ασφάλιστρα + Τέλη) / 2496 ώρες (312μέρες τον χρόνο επί 8 ώρες)</t>
  </si>
  <si>
    <t>οδηγού **</t>
  </si>
  <si>
    <t>Οχήματος *</t>
  </si>
  <si>
    <t>** Ένας οδηγός εργάρζεται 11 μήνες x 22,5μέρες x 8ώρες = 1980ώρες</t>
  </si>
  <si>
    <t>Αξιά αυτοκι-</t>
  </si>
  <si>
    <t>Ασφάλιστρα</t>
  </si>
  <si>
    <t>νήτου (ευρώ)</t>
  </si>
  <si>
    <t>Τιμή πετρελαίου</t>
  </si>
  <si>
    <t>TAXI</t>
  </si>
  <si>
    <t>Αριθμός Γραμμής</t>
  </si>
  <si>
    <t>Προσαυξημένο μήκος κατά 20%</t>
  </si>
  <si>
    <t>Συντελεστές κατανάλωσης πετρελαίου (Λίτρα/χλμ) - Από μεθοδολογία</t>
  </si>
  <si>
    <t>Για μεγάλο λεωφορείο</t>
  </si>
  <si>
    <t>*** Χιλ.Κόστος Συντήρησης = 8,37% της αξίας του οχήματος δια ετησιών χιλιομέτων (εμπ.ταχύτητα επί 2496 ώρες/χρόνο)</t>
  </si>
  <si>
    <t>Χιλιομετρικό κόστος συντήρησης (€/χλμ) ***</t>
  </si>
  <si>
    <t>*</t>
  </si>
  <si>
    <t xml:space="preserve">Χρόνος απασχόλησης (λεπτά) </t>
  </si>
  <si>
    <t xml:space="preserve">Κατανάλωση πετρελαίου (λίτρα) </t>
  </si>
  <si>
    <t>ΣΧΟΛΕΙΟ</t>
  </si>
  <si>
    <t xml:space="preserve">Περιγραφή δρομολογίων  </t>
  </si>
  <si>
    <t>A/A</t>
  </si>
  <si>
    <t>A</t>
  </si>
  <si>
    <t>B</t>
  </si>
  <si>
    <t>C</t>
  </si>
  <si>
    <t>Γ</t>
  </si>
  <si>
    <t>MINI</t>
  </si>
  <si>
    <t>Α</t>
  </si>
  <si>
    <t>Β</t>
  </si>
  <si>
    <t>Δ</t>
  </si>
  <si>
    <t>Ε</t>
  </si>
  <si>
    <t>ΚΔ_Β</t>
  </si>
  <si>
    <t>ΚΔ_Τ</t>
  </si>
  <si>
    <t>BUS</t>
  </si>
  <si>
    <t>MINI BUS</t>
  </si>
  <si>
    <t>ΚΔ_MΒ</t>
  </si>
  <si>
    <t>ΣΥΝΟΛΟ</t>
  </si>
  <si>
    <r>
      <t>Μήκος (χλμ)</t>
    </r>
    <r>
      <rPr>
        <sz val="9"/>
        <color indexed="8"/>
        <rFont val="Tahoma"/>
        <family val="2"/>
      </rPr>
      <t xml:space="preserve"> / Είδος οδού / Κλίση</t>
    </r>
  </si>
  <si>
    <r>
      <t>Αριθμ.  Μαθητών</t>
    </r>
    <r>
      <rPr>
        <b/>
        <sz val="12"/>
        <rFont val="Tahoma"/>
        <family val="2"/>
      </rPr>
      <t xml:space="preserve"> </t>
    </r>
  </si>
  <si>
    <r>
      <t>Εντός</t>
    </r>
    <r>
      <rPr>
        <sz val="10"/>
        <rFont val="Tahoma"/>
        <family val="2"/>
      </rPr>
      <t xml:space="preserve"> πόλεως με   </t>
    </r>
    <r>
      <rPr>
        <b/>
        <sz val="10"/>
        <rFont val="Tahoma"/>
        <family val="2"/>
      </rPr>
      <t>Κλίση Μικρή</t>
    </r>
  </si>
  <si>
    <r>
      <t>Εκτός</t>
    </r>
    <r>
      <rPr>
        <sz val="10"/>
        <rFont val="Tahoma"/>
        <family val="2"/>
      </rPr>
      <t xml:space="preserve"> πόλεως με   </t>
    </r>
    <r>
      <rPr>
        <b/>
        <sz val="10"/>
        <rFont val="Tahoma"/>
        <family val="2"/>
      </rPr>
      <t>Κλίση Μικρή</t>
    </r>
  </si>
  <si>
    <r>
      <t>Εκτός</t>
    </r>
    <r>
      <rPr>
        <sz val="10"/>
        <rFont val="Tahoma"/>
        <family val="2"/>
      </rPr>
      <t xml:space="preserve"> πόλεως με   </t>
    </r>
    <r>
      <rPr>
        <b/>
        <sz val="10"/>
        <rFont val="Tahoma"/>
        <family val="2"/>
      </rPr>
      <t>Κλίση Μεγάλη</t>
    </r>
  </si>
  <si>
    <t>ΜΕΧΡΙ</t>
  </si>
  <si>
    <t>ΜΕΓΑΛ</t>
  </si>
  <si>
    <t>8&lt;m&lt;20</t>
  </si>
  <si>
    <t>3ο Νηπ/γείο Βουτών Τμήμα Ένταξης</t>
  </si>
  <si>
    <t>2ο Δημ. Σχ. Βουτών</t>
  </si>
  <si>
    <t xml:space="preserve">Δημ. Σχ. Δαφνών </t>
  </si>
  <si>
    <t>69ο Νηπ. Ηρακλείου</t>
  </si>
  <si>
    <t>52ο Ολοημ. Δημ. Σχ. Ηρακλείου</t>
  </si>
  <si>
    <t xml:space="preserve">Δημ. Σχ. - Νηπ. Προφήτη Ηλία </t>
  </si>
  <si>
    <t>Δημ. Σχ. Προφήτη Ηλία  Τμήμα ένταξης</t>
  </si>
  <si>
    <t>3ο Ολοήμ. - 4ο Δημ. Σχ. Αλικαρνασού</t>
  </si>
  <si>
    <t>45ο Δημ. Σχ. Ηρακλείου</t>
  </si>
  <si>
    <t>5ο Ολοημ. Δημ. Σχ. Ηρακλείου</t>
  </si>
  <si>
    <t>48ο Δημ. Σχ. Ηρακλείου</t>
  </si>
  <si>
    <t>1o Ειδικό Δημ. Σχ. Ηρακλείου</t>
  </si>
  <si>
    <t>2ο Ειδικό Δημ. Σχ. Ηρακλείου</t>
  </si>
  <si>
    <t>3ο Ειδικό Δημ. Σχ. Ηρακλείου</t>
  </si>
  <si>
    <t xml:space="preserve">Κάμπος Αγ. Σύλλα </t>
  </si>
  <si>
    <t>Αγάκου Μετόχι -ΠΑΓΝΗ-Αγ. Παρασκευή</t>
  </si>
  <si>
    <t>Σίβα Μαλεβιζίου</t>
  </si>
  <si>
    <t xml:space="preserve">Άγιος Αντώνιος, Κλειστό ΤΕΙ, Μετά το Πειραματικό, Αγιος Νεκτάριος,Διασταύρωση Δεικτάκη ,Γούρνες, Αθανάτους,4ο Χιλ. Ηρακλείου Μοιρών ,6ο χιλ. ,8ο χιλ.&amp; 10ο χιλ. Ηρακλ. Μοιρών , Ελαϊς </t>
  </si>
  <si>
    <t>Τσαγκαράκι Μετόχι</t>
  </si>
  <si>
    <t>Αγ. Σύλλας</t>
  </si>
  <si>
    <t>Καταυλισμός Τσιγγάνων , Σφαγεία</t>
  </si>
  <si>
    <t xml:space="preserve">Κορακοβούνι  και ευρύτερη περιοχή </t>
  </si>
  <si>
    <t>Φοινικιά - Μαλάδες- Λοφούπολη</t>
  </si>
  <si>
    <t xml:space="preserve">Φιλοθέη,Ξημερώματα </t>
  </si>
  <si>
    <t>Δεξαμενή-Μέσα Κατσαμπάς-Παπα Τίτου Μετόχι</t>
  </si>
  <si>
    <t>Εργατικές Κατοικίες Κατσαμπά</t>
  </si>
  <si>
    <t>Καβροχώρι - Γάζι</t>
  </si>
  <si>
    <t>Καστέλι Πεδιάδος- Ανω Χερσόνησος - Ανω Γούβες - Καρτερός - Αλικαρνασσός - Ανατολικές συνοικίες της πόλεως Ηρακλείου</t>
  </si>
  <si>
    <t>Γάζι-Αμμουδάρα</t>
  </si>
  <si>
    <t xml:space="preserve">Κέντρο - Νότιες Περιοχές της πόλεως Ηρακλείου </t>
  </si>
  <si>
    <t>Προφήτης Ηλίας</t>
  </si>
  <si>
    <t>Γούρνες πεδιάδος- Μοχός</t>
  </si>
  <si>
    <t>Τρεις Βαγιές, Καμίνια, Χανιόπορτα, Ατσαλένιο, Μεσαμπαλιές, Μασταμπάς, Νταμάρια</t>
  </si>
  <si>
    <t>αρ. δρμ.</t>
  </si>
  <si>
    <t>6ο &amp; 44ο Δημ</t>
  </si>
  <si>
    <t>Προκήρυξη δρομολογίων μεταφοράς μαθητών Δημου Ηρακλείου</t>
  </si>
  <si>
    <t>Αυγενική - Βενεράτο - Δαφνές</t>
  </si>
  <si>
    <t>Φόδελε</t>
  </si>
  <si>
    <t>διαφορες περιοχές Ηρακλείου</t>
  </si>
  <si>
    <t>10ο Γυμ</t>
  </si>
  <si>
    <t>Τσαλικάκι - Ανοδος</t>
  </si>
  <si>
    <t>Γυμ - Λύκειο Ν. Αλικ/σου</t>
  </si>
  <si>
    <t>Καρτερός</t>
  </si>
  <si>
    <t>Πρασσάς</t>
  </si>
  <si>
    <t>Γυμ Βενεράτου</t>
  </si>
  <si>
    <t>Καλλιθέα</t>
  </si>
  <si>
    <t>ASTORIA</t>
  </si>
  <si>
    <t>21o Δημ Σχολείο</t>
  </si>
  <si>
    <t>5ο Γυμ. - 11ο Λυκειο</t>
  </si>
  <si>
    <t xml:space="preserve">Κορακοβούνι </t>
  </si>
  <si>
    <t>Αγιος Βλάσσης - Βασιλειές - Μαραθίτης</t>
  </si>
  <si>
    <t>7ο Γυμ.</t>
  </si>
  <si>
    <t>3ο Δημ Αλικαρνασσου</t>
  </si>
  <si>
    <t>2ο - 5ο Δημ Αλικαρνασσού</t>
  </si>
  <si>
    <t>Καρτερός - Αμνισος - Πρασσά</t>
  </si>
  <si>
    <t>Εσπερινό Γυμνάσιο</t>
  </si>
  <si>
    <t>Ποταμιές - Χερσόνησος</t>
  </si>
  <si>
    <t>Αμμουδαρα - Γαζι - Τσαλικάκι</t>
  </si>
  <si>
    <t>Αρχάνες - Βασιλειές</t>
  </si>
  <si>
    <t>Καλέσα</t>
  </si>
  <si>
    <t>Μοίρες - Αγιοι Δέκα - Μεγάλη Βρύση -Βενεράτο - Δαφνές</t>
  </si>
  <si>
    <t>Εσπερινό Λύκειο</t>
  </si>
  <si>
    <t>Καστέλι</t>
  </si>
  <si>
    <t>Κρουσώνας</t>
  </si>
  <si>
    <t>Σταλίδα - Μάλια - Γούβες - Γούρνες - Πρασσά - Καρτερός</t>
  </si>
  <si>
    <t xml:space="preserve">Αγιος Σύλλας - Προφήτης Ηλίας - Ρουκάνι - Κυπαρισσι - Φοινικιά </t>
  </si>
  <si>
    <t xml:space="preserve">Ασίτες - Βούτες </t>
  </si>
  <si>
    <t xml:space="preserve">4ο ΕΠΑΛ </t>
  </si>
  <si>
    <t>Πεζά - Σκαλάνι</t>
  </si>
  <si>
    <t>Ροδιά</t>
  </si>
  <si>
    <t>Κεραμούτσι</t>
  </si>
  <si>
    <t>2o ΕΠΑΛ</t>
  </si>
  <si>
    <t>Κεραμούτσι-Καλέσσα</t>
  </si>
  <si>
    <t>Ανώγεια</t>
  </si>
  <si>
    <t>ΕΠΑΛ Ειδικής Αγωγής</t>
  </si>
  <si>
    <t>Αλικαρνασσός-Ανατολικές Συνοικίες</t>
  </si>
  <si>
    <t>Πισκοπιανο-Α.Γούβες-Γούρνες-Κοκκίνη Χάνι</t>
  </si>
  <si>
    <t>Μασταμπάς-Κέντρο</t>
  </si>
  <si>
    <t>Φορτέτσα-Βασιλειές-Μεσαμπελιές</t>
  </si>
  <si>
    <t xml:space="preserve">Δυτικές Συνοικίες </t>
  </si>
  <si>
    <t>Ρουσσοχώρια-Αρκαλοχώρι-Αυλή</t>
  </si>
  <si>
    <t>Αγ. Ιωάννης-Ανάληψη</t>
  </si>
  <si>
    <t>Επισκοπή</t>
  </si>
  <si>
    <t>Φοινικιά</t>
  </si>
  <si>
    <t>Ζαρός-Μεγάλη Βρύση</t>
  </si>
  <si>
    <t>ΕΕΕΕΚ</t>
  </si>
  <si>
    <t>Νότιες συνοικίες Πόλεως</t>
  </si>
  <si>
    <t>Αλικαρνασσός- Κέντρο- Ανατολικές Συνοικίες</t>
  </si>
  <si>
    <t>Σγουροκεφάλι</t>
  </si>
  <si>
    <t xml:space="preserve">Ειδικό Γυμνάσιο </t>
  </si>
  <si>
    <t>Λουτράκι- Κρουσώνας</t>
  </si>
  <si>
    <t>Γέργερη- Νίβρυτος- Ζαρός</t>
  </si>
  <si>
    <t>ΕΕΕΕΚ- Ειδικό Γυμνάσιο</t>
  </si>
  <si>
    <t>Μεγάλη Βρύση- Αγ. Βαρβάρα - Εσταυρωμέρνος- Καμίνια</t>
  </si>
  <si>
    <t>3ο Γυμνάσιο (τμήμα ένταξης)</t>
  </si>
  <si>
    <t>Αγία Γαληνη</t>
  </si>
  <si>
    <t>Αυλή- Ξενιάκο- Ζίντα</t>
  </si>
  <si>
    <t>Δημ. Σχ. - Γυμ Αγίου Μύρωνα</t>
  </si>
  <si>
    <t>Βούτες- Πενταμόδι - Πετροκεφαλο</t>
  </si>
  <si>
    <t>Δημ. Σχ. - Νηπ. - Γυμ. Αγίου Μύρωνα</t>
  </si>
  <si>
    <t>Ασίτες - Πυργού</t>
  </si>
  <si>
    <t>Αυγενική</t>
  </si>
  <si>
    <t>Ανω- Κάτω Ασίτες- Βούτες - Σταυράκια - Αθάνατοι - ΤΕΙ</t>
  </si>
  <si>
    <t>Αγ. Σύλας - Ρουκάνι - Καλού - Κυπαρίσι - Πρ. Ηλίας - Τσαγκαράκι - Καμπος Αγ. Σύλα - Μαλάδες - Φοινικιά - Καρκαδιώτισα</t>
  </si>
  <si>
    <t xml:space="preserve">Αγία Πελαγία - Φόδελε - </t>
  </si>
  <si>
    <t>Πειραματικό</t>
  </si>
  <si>
    <t>Σταυράκια - ΠΑΓΝΗ</t>
  </si>
  <si>
    <t xml:space="preserve">Δαφνές </t>
  </si>
  <si>
    <t>Σίβα-Κεράσια</t>
  </si>
  <si>
    <t>Γυμν. Βενεράτου -</t>
  </si>
  <si>
    <t>Κεράσια</t>
  </si>
  <si>
    <t>Σίβας</t>
  </si>
  <si>
    <t>Χανιώπορτα</t>
  </si>
  <si>
    <t>Μεγάλη Βρύση- Αγ. Βαρβάρα - Αυγενική</t>
  </si>
  <si>
    <t>Βενεράτο- Δαφνές</t>
  </si>
  <si>
    <t>Γυμν. Αγίου Μύρωνα -</t>
  </si>
  <si>
    <t>Σταυράκια</t>
  </si>
  <si>
    <t>2ο-3ο Ειδικό-ΤΑΛΩΣ   6 μαθ (με αμαξίδιο)</t>
  </si>
  <si>
    <t>Πύργος- Μεσοχωριό</t>
  </si>
  <si>
    <t>Σοκαράς-Αρκάδι Μον. -Δαφνές</t>
  </si>
  <si>
    <t>2ο ΕΠΑΛ</t>
  </si>
  <si>
    <t>Καλού, Γαλένι, Ρουκάνι, Κυπαρισσι, Καρκαδιώτισσα</t>
  </si>
  <si>
    <t>Εσπερινό Γυμνάσιο - Λύκειο -4ο ΕΠΑΛ   16</t>
  </si>
  <si>
    <t>Εσπερινό Γυμνάσιο - 4ο ΕΠΑΛ                    10</t>
  </si>
  <si>
    <t>Εσπερινό Γυμνάσιο - Λύκειο -4ο ΕΠΑΛ    15</t>
  </si>
  <si>
    <t>ΕΠΑΛ Ειδικής Αγωγής 16</t>
  </si>
  <si>
    <t>ΕΠΑΛ Ειδικής Αγωγής 18</t>
  </si>
  <si>
    <t>ΕΠΑΛ Ειδικής Αγωγής 11</t>
  </si>
  <si>
    <t>ΕΕΕΕΚ  14</t>
  </si>
  <si>
    <t>2o ΕΠΑΛ -7ο Λυκειο</t>
  </si>
  <si>
    <t xml:space="preserve">Δημ. Σχ. - Νηπ. Βενεράτου  -Γυμ Βενεράτου          </t>
  </si>
  <si>
    <t>κ/ημ (κυα)</t>
  </si>
  <si>
    <t xml:space="preserve">32ο Ολοημ. </t>
  </si>
  <si>
    <t>Κορακοβούνι</t>
  </si>
  <si>
    <t>για το σχολικό έτος 2012-2013</t>
  </si>
  <si>
    <t>Δημ. Σχ. - Νηπ. Αγίου Σύλλα 22</t>
  </si>
  <si>
    <t xml:space="preserve">Γάζι-Καμινια </t>
  </si>
  <si>
    <t>Δημ. Σχ. - Νηπ. Βενεράτου - Γυμνάσιο</t>
  </si>
  <si>
    <t>Φοινικιά, Μαλάδες</t>
  </si>
  <si>
    <t xml:space="preserve">Δημ. Σχ. Προφήτη Ηλία   - Νηπ. Κυπαρισσου                               </t>
  </si>
  <si>
    <t>42ο Δημ. Σχ. Ηρακλείου  15</t>
  </si>
  <si>
    <t>Γυμνάσιο - Λύκειο Αγ. Μύρωνα   12</t>
  </si>
  <si>
    <t>2o Ειδικό Δημ. Σχ. Ηρακλείου</t>
  </si>
  <si>
    <t>Χερσόνησος - Γούβες</t>
  </si>
  <si>
    <t>2ο -3ο Ειδικό Δημ. Σχ. Ηρακλείου- Δημ. Σχ. Κωφών κ Βαρηκόων - 1o Ειδικό Δημοτικό Ηρακλείου 23</t>
  </si>
  <si>
    <t xml:space="preserve">Βασιλειές - Ηλιούπολη </t>
  </si>
  <si>
    <t xml:space="preserve">Γάζι-Αμμουδάρα - Εσταυρωμένος </t>
  </si>
  <si>
    <t>2ο - 3ο Ειδικό Δημ. Σχ. Ηρακλείου - 1ο Ειδ νηπιαγωγειο</t>
  </si>
  <si>
    <t>Καιν. Χωριό - Επισκοπή-Ελιά - Κοκκίνη χάνι - Γούρνες</t>
  </si>
  <si>
    <t>2ο - 3ο Ειδικό Δημ. Σχ. Ηρακλείου 2ο ειδ. Νηπ.</t>
  </si>
  <si>
    <t xml:space="preserve">Μεγ. Βρύση- 8ο Χιλ. οδού Ηρακλείου - Μοιρών, Βενεράτο, Δαφνές, Αγιος Θωμάς </t>
  </si>
  <si>
    <t xml:space="preserve">2ο - 3ο Ειδικό Δημ. Σχ. Ηρακλείου - Δημ. Σχ. Κωφών κ Βαρηκόων - 1o Ειδικό Νηπιαγωγείο Ηρακλείου </t>
  </si>
  <si>
    <t>2ο - 3ο Ειδικό Δημ. Σχ. Ηρακλείου-1o &amp; 2o Ειδικό Νηπιαγωγείο Ηρακλείου 22</t>
  </si>
  <si>
    <t xml:space="preserve">Δυτικές συνοικίες της πόλεως Ηρακλείου Ροδια - Γάζι </t>
  </si>
  <si>
    <t xml:space="preserve">Δημ. Σχ. Κωφών κ Βαρηκόων </t>
  </si>
  <si>
    <t>10ο Λύκειο</t>
  </si>
  <si>
    <t>Κορακοβουνι</t>
  </si>
  <si>
    <t>7ο Λυκειο - 10ο Λυκειο - 2ο ΕΠΑΛ</t>
  </si>
  <si>
    <t>7ο Λύκειο - 2ο ΕΠΑΛ         10</t>
  </si>
  <si>
    <t>7ο Λύκειο  11</t>
  </si>
  <si>
    <t>7ο Λύκειο - 13ο Λύκειο    13</t>
  </si>
  <si>
    <t>Αεροδρόμιο - Κνωσου - Παπαναστασίου - Μασταμπάς</t>
  </si>
  <si>
    <t>Αγιος Βλάσσης - Βασιλειές - Μαραθίτης - Σύλαμος</t>
  </si>
  <si>
    <t>Εσπερινό Γυμνάσιο - 4ο ΕΠΑΛ  6</t>
  </si>
  <si>
    <t>Εσπερινό Γυμνάσιο - 4ο ΕΠΑΛ   9</t>
  </si>
  <si>
    <t>Εσπερινό Γυμνάσιο - Λύκειο -4ο ΕΠΑΛ  12</t>
  </si>
  <si>
    <t>Λεντα - Μοίρες - Αγ. Βαρβάρα - Βενεράτο</t>
  </si>
  <si>
    <t>ΕΠΑΛ Ειδικής Αγωγής  5</t>
  </si>
  <si>
    <t>ΕΠΑΛ Ειδικής Αγωγής 8</t>
  </si>
  <si>
    <t xml:space="preserve">ΕΕΕΕΚ- Ειδικό Γυμνάσιο </t>
  </si>
  <si>
    <t xml:space="preserve">Δυτικές συνοικίες Πόλεως , Μαλάδες, Γάζι, Αμμουδάρα, Αγάκου Μετοχι , Τσαλικάκι </t>
  </si>
  <si>
    <t>ΕΕΕΕΚ- Ειδικό Γυμνάσιο 18</t>
  </si>
  <si>
    <t>Μοχός- Ανάληψη- Αγριανα</t>
  </si>
  <si>
    <t>Γούβες-Κάτω Γούβες- Γούρνες- Αμνισσός - Καρτερός</t>
  </si>
  <si>
    <t>Γεράκι- - Αυλή - Αρκαλοχώρι</t>
  </si>
  <si>
    <t>Ειδικό Γυμνάσιο</t>
  </si>
  <si>
    <t xml:space="preserve">Γούρνες Τεμένους - Δαφνές - 8ο Χλμ Ηρακλείου - Μοιρών </t>
  </si>
  <si>
    <t xml:space="preserve">Αγ. Σύλλας- Κάμπος Αγ. Σύλλα </t>
  </si>
  <si>
    <t>Ειδικό Γυμνάσιο - 3ο Γυμν(τμήμα ένταξης) 13</t>
  </si>
  <si>
    <t>Θραψανό- Αποστόλοι - Καστέλι</t>
  </si>
  <si>
    <t>Τυμπάκι- Μοίρες- Φανερωμένη - Δαφνές</t>
  </si>
  <si>
    <t>Αρχάνες - Κουνάβοι</t>
  </si>
  <si>
    <t>Ειδικό Γυμνάσιο - ΕΕΕΕΚ               9</t>
  </si>
  <si>
    <t>Ειδικό Γυμνάσιο - 8ο Γυμνάσιο</t>
  </si>
  <si>
    <t>45o Δημ. Σχολείο            16</t>
  </si>
  <si>
    <t>Μαραθίτης - Αγ. Βλάσης - Βασιλειες - Ουλαφ Πάλμε - Φορτέτσα- Σίλαμος - Δεξαμενές - Περιοχή Φασουλάκη - Ακρη Φορτέτσας</t>
  </si>
  <si>
    <t>18ο Νηπιαγωγείο (τμήμα ένταξης)</t>
  </si>
  <si>
    <t xml:space="preserve">Δειλινά </t>
  </si>
  <si>
    <t xml:space="preserve">Δημοτικό Σχολείο Κωφών &amp; Βαρυκόων </t>
  </si>
  <si>
    <t>Αλικαρνασσός- Ανατολικές Συνοικίες</t>
  </si>
  <si>
    <t>Μάραθος</t>
  </si>
  <si>
    <t>8ο Γυμνάσιο - 7ο λύκειο  10</t>
  </si>
  <si>
    <t>8ο Γυμνάσιο</t>
  </si>
  <si>
    <t xml:space="preserve">Αγιος Σύλλας - Μαλάδες </t>
  </si>
  <si>
    <t xml:space="preserve">Αγία Βαρβάρα - Δαφνές </t>
  </si>
  <si>
    <t xml:space="preserve">8ο Γυμνάσιο </t>
  </si>
  <si>
    <t>Φόδελε - Αγ. Πελαγία - Καβροχώρι</t>
  </si>
  <si>
    <t>9ο γυμνάσιο  9</t>
  </si>
  <si>
    <t xml:space="preserve">Μασταμπάς - Θέρισσος </t>
  </si>
  <si>
    <t xml:space="preserve">9ο Γυμνάσιο </t>
  </si>
  <si>
    <t xml:space="preserve">Μέσα Κατσαμπάς - Φιλοθέη </t>
  </si>
  <si>
    <t>12ο Γυμνάσιο   10</t>
  </si>
  <si>
    <t xml:space="preserve">Παναγιά - Μυρτιά </t>
  </si>
  <si>
    <t xml:space="preserve">Προφήτης Ηλίας - Καρκαδιώτισσα - Αγιος Σύλλας - Μαλάδες - Κυπαρισσι - Ρουκάνι </t>
  </si>
  <si>
    <t>4ο Λύκειο  19</t>
  </si>
  <si>
    <t xml:space="preserve">10ο Λύκειο </t>
  </si>
  <si>
    <t xml:space="preserve">4ο Λύκειο - 13ο Λύκειο </t>
  </si>
  <si>
    <t>Αυγενική - Βενεράτο</t>
  </si>
  <si>
    <t>ΕΠΑΣ</t>
  </si>
  <si>
    <t>Σητεία</t>
  </si>
  <si>
    <t xml:space="preserve">Κοκκίνη Χάνι - Επισκοπή </t>
  </si>
  <si>
    <t xml:space="preserve">Γωνιές - Χερσόνησος - Γούρνες </t>
  </si>
  <si>
    <t xml:space="preserve">Ζωφόροι - Παναγιά - Καστέλλι </t>
  </si>
  <si>
    <t xml:space="preserve">Αρκαλοχώρι - Πεζά - Αρχάνες </t>
  </si>
  <si>
    <t xml:space="preserve">Μοίρες - Αγιοι Δέκα - Αντισκάρι </t>
  </si>
  <si>
    <t>Νεάπολη</t>
  </si>
  <si>
    <t xml:space="preserve">Τύλισος - Καβροχώρι </t>
  </si>
  <si>
    <t xml:space="preserve">Μεταξοχώρι </t>
  </si>
  <si>
    <t xml:space="preserve">Ασίτες </t>
  </si>
  <si>
    <t xml:space="preserve">Καλέσα </t>
  </si>
  <si>
    <t xml:space="preserve">Δαφνές  </t>
  </si>
  <si>
    <t>2ο - 3ο Ειδικό - ΤΑΛΩΣ    6</t>
  </si>
  <si>
    <t>2o ΕΠΑΛ                             10</t>
  </si>
  <si>
    <t xml:space="preserve">ΕΤΗΣΙΟ ΚΟΣΤΟΣ </t>
  </si>
  <si>
    <t>ΜΕ ΦΠΑ (13%)</t>
  </si>
  <si>
    <t>ΠΡΟΫΠΟΛΟΓΙΣΜΟΣ ΜΕ ΔΙΚΑΙΩΜΑΤΑ ΠΡΟΑΙΡΕΣΗΣ 20% (ΧΩΡΙΣ ΦΠΑ)</t>
  </si>
  <si>
    <t>ΚΟΣΤΟΣ/  ΕΤΟΣ       175 ΗΜΕΡΕΣ</t>
  </si>
  <si>
    <t>ΣΥΝΤΑΧΘΗΚΕ</t>
  </si>
  <si>
    <t>ΕΛΕΓΧΘΗΚΕ ΚΑΙ ΘΕΩΡΗΘΗΚΕ</t>
  </si>
  <si>
    <t>ΕΛΕΥΘΕΡΙΑ ΖΩΑΚΗ</t>
  </si>
  <si>
    <t>ΣΤΕΛΙΟΣ ΑΛΕΞΑΚΗΣ</t>
  </si>
  <si>
    <t>ΠΟΛΙΤΙΚΟΣ ΜΗΧΑΝΙΚΟΣ</t>
  </si>
  <si>
    <t>ΑΡΧΙΤΕΚΤΩΝ ΜΗΧΑΝΙΚΟΣ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</si>
</sst>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&quot;Ναι&quot;;&quot;Ναι&quot;;&quot;'Οχι&quot;"/>
    <numFmt numFmtId="174" formatCode="&quot;Αληθές&quot;;&quot;Αληθές&quot;;&quot;Ψευδές&quot;"/>
    <numFmt numFmtId="175" formatCode="&quot;Ενεργοποίηση&quot;;&quot;Ενεργοποίηση&quot;;&quot;Απενεργοποίηση&quot;"/>
    <numFmt numFmtId="176" formatCode="[$€-2]\ #,##0.00_);[Red]\([$€-2]\ #,##0.00\)"/>
    <numFmt numFmtId="177" formatCode="#,##0.0000"/>
    <numFmt numFmtId="178" formatCode="#,##0.0"/>
  </numFmts>
  <fonts count="98">
    <font>
      <sz val="11"/>
      <color indexed="8"/>
      <name val="Calibri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name val="Tahoma"/>
      <family val="2"/>
    </font>
    <font>
      <sz val="12"/>
      <name val="Comic Sans MS"/>
      <family val="4"/>
    </font>
    <font>
      <sz val="12"/>
      <color indexed="10"/>
      <name val="Comic Sans MS"/>
      <family val="4"/>
    </font>
    <font>
      <sz val="18"/>
      <name val="Arial"/>
      <family val="2"/>
    </font>
    <font>
      <sz val="10"/>
      <color indexed="12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sz val="9"/>
      <color indexed="10"/>
      <name val="Tahoma"/>
      <family val="2"/>
    </font>
    <font>
      <b/>
      <sz val="9"/>
      <color indexed="30"/>
      <name val="Tahoma"/>
      <family val="2"/>
    </font>
    <font>
      <b/>
      <sz val="10"/>
      <color indexed="30"/>
      <name val="Arial"/>
      <family val="2"/>
    </font>
    <font>
      <sz val="10"/>
      <color indexed="14"/>
      <name val="HellasArial"/>
      <family val="0"/>
    </font>
    <font>
      <b/>
      <i/>
      <sz val="12"/>
      <color indexed="17"/>
      <name val="HellasArial"/>
      <family val="0"/>
    </font>
    <font>
      <sz val="10"/>
      <color indexed="16"/>
      <name val="HellasArial"/>
      <family val="0"/>
    </font>
    <font>
      <sz val="10"/>
      <color indexed="18"/>
      <name val="HellasArial Condensed"/>
      <family val="0"/>
    </font>
    <font>
      <b/>
      <sz val="16"/>
      <color indexed="18"/>
      <name val="HellasArial"/>
      <family val="0"/>
    </font>
    <font>
      <sz val="10"/>
      <name val="Arial Greek"/>
      <family val="0"/>
    </font>
    <font>
      <sz val="8"/>
      <name val="Calibri"/>
      <family val="2"/>
    </font>
    <font>
      <sz val="14"/>
      <name val="Arial"/>
      <family val="2"/>
    </font>
    <font>
      <i/>
      <sz val="9"/>
      <color indexed="10"/>
      <name val="Arial"/>
      <family val="2"/>
    </font>
    <font>
      <i/>
      <sz val="9"/>
      <name val="Tahoma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2"/>
      <color indexed="30"/>
      <name val="Arial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0"/>
      <color indexed="12"/>
      <name val="Arial"/>
      <family val="2"/>
    </font>
    <font>
      <sz val="11"/>
      <color indexed="8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2"/>
      <color indexed="8"/>
      <name val="Tahoma"/>
      <family val="2"/>
    </font>
    <font>
      <sz val="10"/>
      <color indexed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b/>
      <sz val="14"/>
      <name val="Tahoma"/>
      <family val="2"/>
    </font>
    <font>
      <b/>
      <sz val="14"/>
      <color indexed="8"/>
      <name val="Tahoma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sz val="11"/>
      <color indexed="60"/>
      <name val="Tahoma"/>
      <family val="2"/>
    </font>
    <font>
      <sz val="10"/>
      <color indexed="60"/>
      <name val="Tahoma"/>
      <family val="2"/>
    </font>
    <font>
      <b/>
      <sz val="10"/>
      <color indexed="60"/>
      <name val="Tahoma"/>
      <family val="2"/>
    </font>
    <font>
      <b/>
      <sz val="11"/>
      <color indexed="60"/>
      <name val="Tahoma"/>
      <family val="2"/>
    </font>
    <font>
      <sz val="11"/>
      <color indexed="12"/>
      <name val="Tahoma"/>
      <family val="2"/>
    </font>
    <font>
      <b/>
      <sz val="10"/>
      <name val="Arial"/>
      <family val="2"/>
    </font>
    <font>
      <sz val="11"/>
      <name val="Calibri"/>
      <family val="2"/>
    </font>
    <font>
      <sz val="12"/>
      <name val="Times New Roman Greek"/>
      <family val="1"/>
    </font>
    <font>
      <sz val="11"/>
      <name val="Times New Roman Greek"/>
      <family val="1"/>
    </font>
    <font>
      <b/>
      <sz val="11"/>
      <name val="Times New Roman Greek"/>
      <family val="0"/>
    </font>
    <font>
      <strike/>
      <sz val="11"/>
      <color indexed="8"/>
      <name val="Tahoma"/>
      <family val="2"/>
    </font>
    <font>
      <strike/>
      <sz val="12"/>
      <name val="Times New Roman Greek"/>
      <family val="1"/>
    </font>
    <font>
      <b/>
      <sz val="12"/>
      <color indexed="16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12"/>
      <name val="Calibri"/>
      <family val="2"/>
    </font>
    <font>
      <b/>
      <sz val="12"/>
      <color indexed="16"/>
      <name val="Calibri"/>
      <family val="2"/>
    </font>
    <font>
      <b/>
      <sz val="14"/>
      <name val="Calibri"/>
      <family val="2"/>
    </font>
    <font>
      <b/>
      <sz val="11"/>
      <color indexed="10"/>
      <name val="Tahoma"/>
      <family val="2"/>
    </font>
    <font>
      <b/>
      <sz val="12"/>
      <color indexed="10"/>
      <name val="Tahoma"/>
      <family val="2"/>
    </font>
    <font>
      <strike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FF0000"/>
      <name val="Tahoma"/>
      <family val="2"/>
    </font>
    <font>
      <b/>
      <sz val="12"/>
      <color rgb="FFFF0000"/>
      <name val="Tahom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3" fillId="0" borderId="0">
      <alignment/>
      <protection/>
    </xf>
    <xf numFmtId="0" fontId="20" fillId="0" borderId="0">
      <alignment/>
      <protection/>
    </xf>
    <xf numFmtId="0" fontId="15" fillId="0" borderId="0">
      <alignment vertical="center"/>
      <protection/>
    </xf>
    <xf numFmtId="0" fontId="16" fillId="0" borderId="0">
      <alignment horizontal="center" vertical="center"/>
      <protection/>
    </xf>
    <xf numFmtId="0" fontId="17" fillId="0" borderId="0">
      <alignment vertical="center"/>
      <protection/>
    </xf>
    <xf numFmtId="0" fontId="18" fillId="20" borderId="0">
      <alignment horizontal="right" vertical="center"/>
      <protection/>
    </xf>
    <xf numFmtId="0" fontId="19" fillId="21" borderId="0">
      <alignment vertical="center"/>
      <protection/>
    </xf>
    <xf numFmtId="0" fontId="81" fillId="22" borderId="1" applyNumberFormat="0" applyAlignment="0" applyProtection="0"/>
    <xf numFmtId="0" fontId="82" fillId="23" borderId="2" applyNumberFormat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3" fillId="30" borderId="3" applyNumberFormat="0" applyAlignment="0" applyProtection="0"/>
    <xf numFmtId="0" fontId="84" fillId="0" borderId="0" applyNumberFormat="0" applyFill="0" applyBorder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7" fillId="0" borderId="0" applyNumberFormat="0" applyFill="0" applyBorder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3" borderId="0" applyNumberFormat="0" applyBorder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0" fillId="34" borderId="7" applyNumberFormat="0" applyFont="0" applyAlignment="0" applyProtection="0"/>
    <xf numFmtId="0" fontId="92" fillId="0" borderId="8" applyNumberFormat="0" applyFill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5" fillId="30" borderId="1" applyNumberFormat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33" applyFill="1">
      <alignment/>
      <protection/>
    </xf>
    <xf numFmtId="0" fontId="1" fillId="0" borderId="0" xfId="33" applyFont="1" applyFill="1" applyAlignment="1">
      <alignment horizontal="righ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" fillId="0" borderId="0" xfId="33" applyFont="1" applyFill="1" applyAlignment="1">
      <alignment vertical="center"/>
      <protection/>
    </xf>
    <xf numFmtId="0" fontId="3" fillId="0" borderId="0" xfId="33" applyFill="1" applyAlignment="1">
      <alignment vertical="center"/>
      <protection/>
    </xf>
    <xf numFmtId="0" fontId="1" fillId="0" borderId="10" xfId="33" applyFont="1" applyBorder="1">
      <alignment/>
      <protection/>
    </xf>
    <xf numFmtId="0" fontId="1" fillId="0" borderId="11" xfId="33" applyFont="1" applyBorder="1">
      <alignment/>
      <protection/>
    </xf>
    <xf numFmtId="0" fontId="1" fillId="0" borderId="12" xfId="33" applyFont="1" applyBorder="1">
      <alignment/>
      <protection/>
    </xf>
    <xf numFmtId="0" fontId="1" fillId="0" borderId="13" xfId="33" applyFont="1" applyBorder="1">
      <alignment/>
      <protection/>
    </xf>
    <xf numFmtId="0" fontId="1" fillId="0" borderId="0" xfId="33" applyFont="1" applyBorder="1">
      <alignment/>
      <protection/>
    </xf>
    <xf numFmtId="0" fontId="6" fillId="0" borderId="0" xfId="33" applyFont="1" applyAlignment="1">
      <alignment horizontal="right"/>
      <protection/>
    </xf>
    <xf numFmtId="0" fontId="6" fillId="0" borderId="0" xfId="33" applyFont="1">
      <alignment/>
      <protection/>
    </xf>
    <xf numFmtId="2" fontId="7" fillId="0" borderId="0" xfId="33" applyNumberFormat="1" applyFont="1" applyAlignment="1">
      <alignment horizontal="center"/>
      <protection/>
    </xf>
    <xf numFmtId="0" fontId="3" fillId="0" borderId="0" xfId="33">
      <alignment/>
      <protection/>
    </xf>
    <xf numFmtId="0" fontId="8" fillId="0" borderId="0" xfId="33" applyFont="1">
      <alignment/>
      <protection/>
    </xf>
    <xf numFmtId="2" fontId="4" fillId="0" borderId="0" xfId="33" applyNumberFormat="1" applyFont="1" applyAlignment="1">
      <alignment horizontal="center"/>
      <protection/>
    </xf>
    <xf numFmtId="0" fontId="3" fillId="0" borderId="0" xfId="33" applyAlignment="1">
      <alignment horizontal="right"/>
      <protection/>
    </xf>
    <xf numFmtId="0" fontId="4" fillId="0" borderId="0" xfId="33" applyFont="1" applyFill="1">
      <alignment/>
      <protection/>
    </xf>
    <xf numFmtId="0" fontId="3" fillId="0" borderId="0" xfId="33" applyFont="1" applyAlignment="1">
      <alignment horizontal="right"/>
      <protection/>
    </xf>
    <xf numFmtId="0" fontId="9" fillId="0" borderId="0" xfId="33" applyFont="1">
      <alignment/>
      <protection/>
    </xf>
    <xf numFmtId="0" fontId="3" fillId="35" borderId="0" xfId="33" applyFont="1" applyFill="1">
      <alignment/>
      <protection/>
    </xf>
    <xf numFmtId="0" fontId="3" fillId="0" borderId="14" xfId="33" applyBorder="1" applyAlignment="1">
      <alignment horizontal="right"/>
      <protection/>
    </xf>
    <xf numFmtId="0" fontId="3" fillId="0" borderId="15" xfId="33" applyBorder="1" applyAlignment="1">
      <alignment horizontal="right"/>
      <protection/>
    </xf>
    <xf numFmtId="0" fontId="3" fillId="0" borderId="15" xfId="33" applyBorder="1">
      <alignment/>
      <protection/>
    </xf>
    <xf numFmtId="2" fontId="3" fillId="0" borderId="16" xfId="33" applyNumberFormat="1" applyFont="1" applyBorder="1" applyAlignment="1">
      <alignment horizontal="center"/>
      <protection/>
    </xf>
    <xf numFmtId="0" fontId="3" fillId="0" borderId="17" xfId="33" applyBorder="1">
      <alignment/>
      <protection/>
    </xf>
    <xf numFmtId="0" fontId="3" fillId="0" borderId="18" xfId="33" applyBorder="1" applyAlignment="1">
      <alignment horizontal="right"/>
      <protection/>
    </xf>
    <xf numFmtId="0" fontId="3" fillId="36" borderId="18" xfId="33" applyFont="1" applyFill="1" applyBorder="1">
      <alignment/>
      <protection/>
    </xf>
    <xf numFmtId="2" fontId="4" fillId="0" borderId="19" xfId="33" applyNumberFormat="1" applyFont="1" applyBorder="1" applyAlignment="1">
      <alignment horizontal="center"/>
      <protection/>
    </xf>
    <xf numFmtId="0" fontId="3" fillId="0" borderId="20" xfId="33" applyBorder="1">
      <alignment/>
      <protection/>
    </xf>
    <xf numFmtId="0" fontId="3" fillId="0" borderId="0" xfId="33" applyBorder="1" applyAlignment="1">
      <alignment horizontal="right"/>
      <protection/>
    </xf>
    <xf numFmtId="0" fontId="3" fillId="36" borderId="0" xfId="33" applyFont="1" applyFill="1" applyBorder="1">
      <alignment/>
      <protection/>
    </xf>
    <xf numFmtId="2" fontId="4" fillId="0" borderId="21" xfId="33" applyNumberFormat="1" applyFont="1" applyBorder="1" applyAlignment="1">
      <alignment horizontal="center"/>
      <protection/>
    </xf>
    <xf numFmtId="0" fontId="3" fillId="0" borderId="22" xfId="33" applyBorder="1">
      <alignment/>
      <protection/>
    </xf>
    <xf numFmtId="0" fontId="3" fillId="0" borderId="23" xfId="33" applyBorder="1" applyAlignment="1">
      <alignment horizontal="right"/>
      <protection/>
    </xf>
    <xf numFmtId="2" fontId="4" fillId="0" borderId="24" xfId="33" applyNumberFormat="1" applyFont="1" applyBorder="1" applyAlignment="1">
      <alignment horizontal="center"/>
      <protection/>
    </xf>
    <xf numFmtId="0" fontId="4" fillId="37" borderId="23" xfId="33" applyFont="1" applyFill="1" applyBorder="1" applyAlignment="1">
      <alignment horizontal="right"/>
      <protection/>
    </xf>
    <xf numFmtId="0" fontId="3" fillId="0" borderId="25" xfId="33" applyBorder="1" applyAlignment="1">
      <alignment vertical="center"/>
      <protection/>
    </xf>
    <xf numFmtId="164" fontId="4" fillId="0" borderId="26" xfId="33" applyNumberFormat="1" applyFont="1" applyFill="1" applyBorder="1" applyAlignment="1">
      <alignment vertical="center"/>
      <protection/>
    </xf>
    <xf numFmtId="2" fontId="4" fillId="0" borderId="24" xfId="33" applyNumberFormat="1" applyFont="1" applyBorder="1" applyAlignment="1">
      <alignment horizontal="center" vertical="center"/>
      <protection/>
    </xf>
    <xf numFmtId="0" fontId="3" fillId="0" borderId="0" xfId="33" applyAlignment="1">
      <alignment vertical="center"/>
      <protection/>
    </xf>
    <xf numFmtId="0" fontId="3" fillId="0" borderId="17" xfId="33" applyBorder="1" applyAlignment="1">
      <alignment vertical="center"/>
      <protection/>
    </xf>
    <xf numFmtId="0" fontId="3" fillId="0" borderId="18" xfId="33" applyBorder="1" applyAlignment="1">
      <alignment horizontal="right" vertical="center"/>
      <protection/>
    </xf>
    <xf numFmtId="0" fontId="4" fillId="38" borderId="18" xfId="33" applyFont="1" applyFill="1" applyBorder="1" applyAlignment="1">
      <alignment vertical="center"/>
      <protection/>
    </xf>
    <xf numFmtId="2" fontId="4" fillId="0" borderId="19" xfId="33" applyNumberFormat="1" applyFont="1" applyBorder="1" applyAlignment="1">
      <alignment horizontal="center" vertical="center"/>
      <protection/>
    </xf>
    <xf numFmtId="0" fontId="3" fillId="0" borderId="20" xfId="33" applyBorder="1" applyAlignment="1">
      <alignment vertical="center"/>
      <protection/>
    </xf>
    <xf numFmtId="2" fontId="4" fillId="0" borderId="0" xfId="33" applyNumberFormat="1" applyFont="1" applyBorder="1" applyAlignment="1">
      <alignment horizontal="right" vertical="center"/>
      <protection/>
    </xf>
    <xf numFmtId="2" fontId="4" fillId="0" borderId="21" xfId="33" applyNumberFormat="1" applyFont="1" applyBorder="1" applyAlignment="1">
      <alignment horizontal="center" vertical="center"/>
      <protection/>
    </xf>
    <xf numFmtId="0" fontId="3" fillId="0" borderId="0" xfId="33" applyBorder="1" applyAlignment="1">
      <alignment horizontal="right" vertical="center"/>
      <protection/>
    </xf>
    <xf numFmtId="0" fontId="3" fillId="0" borderId="0" xfId="33" applyFont="1" applyBorder="1" applyAlignment="1">
      <alignment vertical="center"/>
      <protection/>
    </xf>
    <xf numFmtId="0" fontId="3" fillId="0" borderId="0" xfId="33" applyBorder="1" applyAlignment="1">
      <alignment vertical="center"/>
      <protection/>
    </xf>
    <xf numFmtId="0" fontId="9" fillId="0" borderId="0" xfId="33" applyFont="1" applyBorder="1" applyAlignment="1">
      <alignment vertical="center"/>
      <protection/>
    </xf>
    <xf numFmtId="0" fontId="3" fillId="0" borderId="22" xfId="33" applyBorder="1" applyAlignment="1">
      <alignment vertical="center"/>
      <protection/>
    </xf>
    <xf numFmtId="0" fontId="11" fillId="0" borderId="23" xfId="33" applyFont="1" applyBorder="1" applyAlignment="1">
      <alignment horizontal="right" vertical="center"/>
      <protection/>
    </xf>
    <xf numFmtId="0" fontId="9" fillId="0" borderId="23" xfId="33" applyFont="1" applyBorder="1" applyAlignment="1">
      <alignment vertical="center"/>
      <protection/>
    </xf>
    <xf numFmtId="0" fontId="3" fillId="0" borderId="23" xfId="33" applyBorder="1" applyAlignment="1">
      <alignment vertical="center"/>
      <protection/>
    </xf>
    <xf numFmtId="165" fontId="4" fillId="39" borderId="18" xfId="33" applyNumberFormat="1" applyFont="1" applyFill="1" applyBorder="1" applyAlignment="1">
      <alignment horizontal="right" vertical="center"/>
      <protection/>
    </xf>
    <xf numFmtId="165" fontId="4" fillId="35" borderId="18" xfId="33" applyNumberFormat="1" applyFont="1" applyFill="1" applyBorder="1" applyAlignment="1">
      <alignment horizontal="right" vertical="center"/>
      <protection/>
    </xf>
    <xf numFmtId="0" fontId="11" fillId="0" borderId="26" xfId="33" applyFont="1" applyFill="1" applyBorder="1" applyAlignment="1">
      <alignment horizontal="right" vertical="center"/>
      <protection/>
    </xf>
    <xf numFmtId="0" fontId="9" fillId="0" borderId="26" xfId="33" applyFont="1" applyBorder="1" applyAlignment="1">
      <alignment vertical="center"/>
      <protection/>
    </xf>
    <xf numFmtId="0" fontId="3" fillId="0" borderId="26" xfId="33" applyBorder="1" applyAlignment="1">
      <alignment vertical="center"/>
      <protection/>
    </xf>
    <xf numFmtId="2" fontId="4" fillId="0" borderId="27" xfId="33" applyNumberFormat="1" applyFont="1" applyBorder="1" applyAlignment="1">
      <alignment horizontal="center" vertical="center"/>
      <protection/>
    </xf>
    <xf numFmtId="0" fontId="3" fillId="0" borderId="18" xfId="33" applyBorder="1" applyAlignment="1">
      <alignment vertical="center"/>
      <protection/>
    </xf>
    <xf numFmtId="0" fontId="11" fillId="0" borderId="26" xfId="33" applyFont="1" applyBorder="1" applyAlignment="1">
      <alignment horizontal="right" vertical="center"/>
      <protection/>
    </xf>
    <xf numFmtId="0" fontId="3" fillId="0" borderId="28" xfId="33" applyBorder="1" applyAlignment="1">
      <alignment vertical="center"/>
      <protection/>
    </xf>
    <xf numFmtId="0" fontId="11" fillId="0" borderId="29" xfId="33" applyFont="1" applyBorder="1" applyAlignment="1">
      <alignment horizontal="right" vertical="center"/>
      <protection/>
    </xf>
    <xf numFmtId="0" fontId="3" fillId="0" borderId="29" xfId="33" applyBorder="1" applyAlignment="1">
      <alignment vertical="center"/>
      <protection/>
    </xf>
    <xf numFmtId="0" fontId="11" fillId="0" borderId="29" xfId="33" applyFont="1" applyFill="1" applyBorder="1" applyAlignment="1">
      <alignment horizontal="right" vertical="center"/>
      <protection/>
    </xf>
    <xf numFmtId="2" fontId="4" fillId="0" borderId="30" xfId="33" applyNumberFormat="1" applyFont="1" applyBorder="1" applyAlignment="1">
      <alignment horizontal="center" vertical="center"/>
      <protection/>
    </xf>
    <xf numFmtId="0" fontId="11" fillId="0" borderId="0" xfId="33" applyFont="1" applyFill="1" applyBorder="1" applyAlignment="1">
      <alignment horizontal="right"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>
      <alignment/>
      <protection/>
    </xf>
    <xf numFmtId="0" fontId="22" fillId="0" borderId="0" xfId="33" applyFont="1" applyFill="1">
      <alignment/>
      <protection/>
    </xf>
    <xf numFmtId="0" fontId="1" fillId="0" borderId="0" xfId="33" applyFont="1" applyFill="1" applyAlignment="1">
      <alignment horizontal="left" vertical="center"/>
      <protection/>
    </xf>
    <xf numFmtId="0" fontId="3" fillId="0" borderId="0" xfId="33" applyFont="1" applyFill="1" applyAlignment="1">
      <alignment horizontal="right" vertical="center"/>
      <protection/>
    </xf>
    <xf numFmtId="0" fontId="23" fillId="0" borderId="0" xfId="33" applyFont="1" applyFill="1">
      <alignment/>
      <protection/>
    </xf>
    <xf numFmtId="0" fontId="24" fillId="0" borderId="0" xfId="33" applyFont="1" applyFill="1" applyAlignment="1" quotePrefix="1">
      <alignment vertical="center"/>
      <protection/>
    </xf>
    <xf numFmtId="0" fontId="3" fillId="0" borderId="0" xfId="33" applyFont="1" applyFill="1" applyAlignment="1">
      <alignment horizontal="right"/>
      <protection/>
    </xf>
    <xf numFmtId="0" fontId="3" fillId="0" borderId="26" xfId="33" applyFont="1" applyBorder="1" applyAlignment="1">
      <alignment horizontal="right" vertical="center"/>
      <protection/>
    </xf>
    <xf numFmtId="0" fontId="3" fillId="0" borderId="0" xfId="33" applyFont="1" applyBorder="1" applyAlignment="1">
      <alignment horizontal="right" vertical="center"/>
      <protection/>
    </xf>
    <xf numFmtId="0" fontId="1" fillId="0" borderId="0" xfId="33" applyFont="1" applyAlignment="1" quotePrefix="1">
      <alignment vertical="center"/>
      <protection/>
    </xf>
    <xf numFmtId="0" fontId="1" fillId="38" borderId="31" xfId="33" applyFont="1" applyFill="1" applyBorder="1" applyAlignment="1">
      <alignment horizontal="center" vertical="center"/>
      <protection/>
    </xf>
    <xf numFmtId="0" fontId="1" fillId="38" borderId="32" xfId="33" applyFont="1" applyFill="1" applyBorder="1" applyAlignment="1">
      <alignment horizontal="center" vertical="center"/>
      <protection/>
    </xf>
    <xf numFmtId="0" fontId="1" fillId="38" borderId="33" xfId="33" applyFont="1" applyFill="1" applyBorder="1" applyAlignment="1">
      <alignment horizontal="center" vertical="center"/>
      <protection/>
    </xf>
    <xf numFmtId="165" fontId="1" fillId="0" borderId="31" xfId="33" applyNumberFormat="1" applyFont="1" applyFill="1" applyBorder="1" applyAlignment="1">
      <alignment horizontal="center" vertical="center"/>
      <protection/>
    </xf>
    <xf numFmtId="165" fontId="1" fillId="0" borderId="32" xfId="33" applyNumberFormat="1" applyFont="1" applyFill="1" applyBorder="1" applyAlignment="1">
      <alignment horizontal="center" vertical="center"/>
      <protection/>
    </xf>
    <xf numFmtId="165" fontId="1" fillId="0" borderId="33" xfId="33" applyNumberFormat="1" applyFont="1" applyFill="1" applyBorder="1" applyAlignment="1">
      <alignment horizontal="center" vertical="center"/>
      <protection/>
    </xf>
    <xf numFmtId="165" fontId="12" fillId="39" borderId="31" xfId="33" applyNumberFormat="1" applyFont="1" applyFill="1" applyBorder="1" applyAlignment="1">
      <alignment horizontal="center" vertical="center"/>
      <protection/>
    </xf>
    <xf numFmtId="165" fontId="12" fillId="39" borderId="32" xfId="33" applyNumberFormat="1" applyFont="1" applyFill="1" applyBorder="1" applyAlignment="1">
      <alignment horizontal="center" vertical="center"/>
      <protection/>
    </xf>
    <xf numFmtId="165" fontId="12" fillId="39" borderId="33" xfId="33" applyNumberFormat="1" applyFont="1" applyFill="1" applyBorder="1" applyAlignment="1">
      <alignment horizontal="center" vertical="center"/>
      <protection/>
    </xf>
    <xf numFmtId="165" fontId="12" fillId="35" borderId="31" xfId="33" applyNumberFormat="1" applyFont="1" applyFill="1" applyBorder="1" applyAlignment="1">
      <alignment horizontal="center" vertical="center"/>
      <protection/>
    </xf>
    <xf numFmtId="165" fontId="12" fillId="35" borderId="32" xfId="33" applyNumberFormat="1" applyFont="1" applyFill="1" applyBorder="1" applyAlignment="1">
      <alignment horizontal="center" vertical="center"/>
      <protection/>
    </xf>
    <xf numFmtId="165" fontId="12" fillId="35" borderId="33" xfId="33" applyNumberFormat="1" applyFont="1" applyFill="1" applyBorder="1" applyAlignment="1">
      <alignment horizontal="center" vertical="center"/>
      <protection/>
    </xf>
    <xf numFmtId="165" fontId="12" fillId="35" borderId="34" xfId="33" applyNumberFormat="1" applyFont="1" applyFill="1" applyBorder="1" applyAlignment="1">
      <alignment horizontal="center" vertical="center"/>
      <protection/>
    </xf>
    <xf numFmtId="165" fontId="12" fillId="35" borderId="35" xfId="33" applyNumberFormat="1" applyFont="1" applyFill="1" applyBorder="1" applyAlignment="1">
      <alignment horizontal="center" vertical="center"/>
      <protection/>
    </xf>
    <xf numFmtId="165" fontId="12" fillId="35" borderId="36" xfId="33" applyNumberFormat="1" applyFont="1" applyFill="1" applyBorder="1" applyAlignment="1">
      <alignment horizontal="center" vertical="center"/>
      <protection/>
    </xf>
    <xf numFmtId="165" fontId="12" fillId="35" borderId="37" xfId="33" applyNumberFormat="1" applyFont="1" applyFill="1" applyBorder="1" applyAlignment="1">
      <alignment horizontal="center" vertical="center"/>
      <protection/>
    </xf>
    <xf numFmtId="165" fontId="12" fillId="35" borderId="38" xfId="33" applyNumberFormat="1" applyFont="1" applyFill="1" applyBorder="1" applyAlignment="1">
      <alignment horizontal="center" vertical="center"/>
      <protection/>
    </xf>
    <xf numFmtId="165" fontId="12" fillId="35" borderId="39" xfId="33" applyNumberFormat="1" applyFont="1" applyFill="1" applyBorder="1" applyAlignment="1">
      <alignment horizontal="center" vertical="center"/>
      <protection/>
    </xf>
    <xf numFmtId="0" fontId="10" fillId="37" borderId="31" xfId="33" applyFont="1" applyFill="1" applyBorder="1" applyAlignment="1">
      <alignment horizontal="center"/>
      <protection/>
    </xf>
    <xf numFmtId="0" fontId="10" fillId="37" borderId="32" xfId="33" applyFont="1" applyFill="1" applyBorder="1" applyAlignment="1">
      <alignment horizontal="center"/>
      <protection/>
    </xf>
    <xf numFmtId="0" fontId="10" fillId="37" borderId="33" xfId="33" applyFont="1" applyFill="1" applyBorder="1" applyAlignment="1">
      <alignment horizontal="center"/>
      <protection/>
    </xf>
    <xf numFmtId="0" fontId="25" fillId="0" borderId="0" xfId="33" applyFont="1" applyFill="1">
      <alignment/>
      <protection/>
    </xf>
    <xf numFmtId="0" fontId="1" fillId="38" borderId="25" xfId="33" applyFont="1" applyFill="1" applyBorder="1" applyAlignment="1">
      <alignment horizontal="center" vertical="center"/>
      <protection/>
    </xf>
    <xf numFmtId="0" fontId="1" fillId="38" borderId="40" xfId="33" applyFont="1" applyFill="1" applyBorder="1" applyAlignment="1">
      <alignment horizontal="center" vertical="center"/>
      <protection/>
    </xf>
    <xf numFmtId="2" fontId="4" fillId="40" borderId="19" xfId="33" applyNumberFormat="1" applyFont="1" applyFill="1" applyBorder="1" applyAlignment="1">
      <alignment horizontal="center" vertical="center"/>
      <protection/>
    </xf>
    <xf numFmtId="2" fontId="2" fillId="40" borderId="0" xfId="33" applyNumberFormat="1" applyFont="1" applyFill="1" applyAlignment="1">
      <alignment horizontal="center" vertical="center"/>
      <protection/>
    </xf>
    <xf numFmtId="2" fontId="2" fillId="41" borderId="0" xfId="33" applyNumberFormat="1" applyFont="1" applyFill="1" applyAlignment="1">
      <alignment horizontal="center" vertical="center"/>
      <protection/>
    </xf>
    <xf numFmtId="2" fontId="4" fillId="41" borderId="19" xfId="33" applyNumberFormat="1" applyFont="1" applyFill="1" applyBorder="1" applyAlignment="1">
      <alignment horizontal="center" vertical="center"/>
      <protection/>
    </xf>
    <xf numFmtId="0" fontId="3" fillId="0" borderId="0" xfId="33" applyFont="1" applyAlignment="1">
      <alignment horizontal="right"/>
      <protection/>
    </xf>
    <xf numFmtId="0" fontId="1" fillId="0" borderId="41" xfId="33" applyFont="1" applyBorder="1">
      <alignment/>
      <protection/>
    </xf>
    <xf numFmtId="0" fontId="1" fillId="0" borderId="42" xfId="33" applyFont="1" applyBorder="1">
      <alignment/>
      <protection/>
    </xf>
    <xf numFmtId="0" fontId="1" fillId="0" borderId="43" xfId="33" applyFont="1" applyBorder="1">
      <alignment/>
      <protection/>
    </xf>
    <xf numFmtId="0" fontId="3" fillId="0" borderId="23" xfId="33" applyFont="1" applyBorder="1" applyAlignment="1">
      <alignment horizontal="right"/>
      <protection/>
    </xf>
    <xf numFmtId="0" fontId="14" fillId="42" borderId="0" xfId="33" applyFont="1" applyFill="1" applyAlignment="1" applyProtection="1">
      <alignment horizontal="left"/>
      <protection locked="0"/>
    </xf>
    <xf numFmtId="0" fontId="28" fillId="42" borderId="0" xfId="33" applyFont="1" applyFill="1" applyBorder="1" applyAlignment="1" applyProtection="1">
      <alignment horizontal="center" vertical="center"/>
      <protection locked="0"/>
    </xf>
    <xf numFmtId="0" fontId="31" fillId="42" borderId="23" xfId="33" applyFont="1" applyFill="1" applyBorder="1" applyAlignment="1" applyProtection="1">
      <alignment horizontal="right"/>
      <protection locked="0"/>
    </xf>
    <xf numFmtId="0" fontId="14" fillId="0" borderId="0" xfId="33" applyFont="1" applyFill="1" applyAlignment="1" applyProtection="1">
      <alignment horizontal="left"/>
      <protection locked="0"/>
    </xf>
    <xf numFmtId="0" fontId="3" fillId="0" borderId="0" xfId="33" applyFont="1" applyFill="1" applyAlignment="1">
      <alignment horizontal="right"/>
      <protection/>
    </xf>
    <xf numFmtId="0" fontId="3" fillId="0" borderId="0" xfId="33" applyFont="1" applyFill="1" applyAlignment="1">
      <alignment horizontal="center"/>
      <protection/>
    </xf>
    <xf numFmtId="0" fontId="3" fillId="43" borderId="0" xfId="33" applyFont="1" applyFill="1">
      <alignment/>
      <protection/>
    </xf>
    <xf numFmtId="0" fontId="3" fillId="44" borderId="0" xfId="33" applyFont="1" applyFill="1">
      <alignment/>
      <protection/>
    </xf>
    <xf numFmtId="0" fontId="11" fillId="44" borderId="32" xfId="33" applyFont="1" applyFill="1" applyBorder="1" applyAlignment="1">
      <alignment horizontal="center"/>
      <protection/>
    </xf>
    <xf numFmtId="0" fontId="11" fillId="43" borderId="32" xfId="33" applyFont="1" applyFill="1" applyBorder="1" applyAlignment="1">
      <alignment horizontal="center"/>
      <protection/>
    </xf>
    <xf numFmtId="0" fontId="11" fillId="35" borderId="32" xfId="33" applyFont="1" applyFill="1" applyBorder="1" applyAlignment="1">
      <alignment horizontal="center"/>
      <protection/>
    </xf>
    <xf numFmtId="0" fontId="32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wrapText="1"/>
      <protection/>
    </xf>
    <xf numFmtId="0" fontId="32" fillId="0" borderId="0" xfId="0" applyFont="1" applyAlignment="1" applyProtection="1">
      <alignment/>
      <protection locked="0"/>
    </xf>
    <xf numFmtId="0" fontId="36" fillId="0" borderId="0" xfId="33" applyFont="1" applyFill="1" applyProtection="1">
      <alignment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33" applyFill="1" applyAlignment="1">
      <alignment horizontal="center"/>
      <protection/>
    </xf>
    <xf numFmtId="0" fontId="49" fillId="0" borderId="32" xfId="33" applyFont="1" applyFill="1" applyBorder="1" applyAlignment="1">
      <alignment horizontal="center"/>
      <protection/>
    </xf>
    <xf numFmtId="0" fontId="49" fillId="0" borderId="32" xfId="33" applyFont="1" applyFill="1" applyBorder="1" applyAlignment="1" quotePrefix="1">
      <alignment horizontal="center"/>
      <protection/>
    </xf>
    <xf numFmtId="0" fontId="3" fillId="0" borderId="32" xfId="33" applyFont="1" applyFill="1" applyBorder="1" applyAlignment="1" quotePrefix="1">
      <alignment horizontal="center"/>
      <protection/>
    </xf>
    <xf numFmtId="0" fontId="0" fillId="0" borderId="0" xfId="0" applyFont="1" applyAlignment="1" applyProtection="1">
      <alignment/>
      <protection/>
    </xf>
    <xf numFmtId="2" fontId="32" fillId="0" borderId="0" xfId="0" applyNumberFormat="1" applyFont="1" applyAlignment="1" applyProtection="1">
      <alignment/>
      <protection/>
    </xf>
    <xf numFmtId="0" fontId="5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32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/>
    </xf>
    <xf numFmtId="2" fontId="32" fillId="0" borderId="0" xfId="0" applyNumberFormat="1" applyFont="1" applyFill="1" applyAlignment="1" applyProtection="1">
      <alignment/>
      <protection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 applyProtection="1">
      <alignment horizontal="left" vertical="center"/>
      <protection locked="0"/>
    </xf>
    <xf numFmtId="164" fontId="32" fillId="0" borderId="0" xfId="0" applyNumberFormat="1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/>
      <protection locked="0"/>
    </xf>
    <xf numFmtId="2" fontId="45" fillId="0" borderId="0" xfId="33" applyNumberFormat="1" applyFont="1" applyFill="1" applyBorder="1" applyAlignment="1" applyProtection="1">
      <alignment horizontal="center"/>
      <protection/>
    </xf>
    <xf numFmtId="0" fontId="37" fillId="0" borderId="29" xfId="33" applyFont="1" applyFill="1" applyBorder="1" applyAlignment="1" applyProtection="1">
      <alignment horizontal="left"/>
      <protection locked="0"/>
    </xf>
    <xf numFmtId="0" fontId="37" fillId="0" borderId="0" xfId="33" applyFont="1" applyFill="1" applyProtection="1">
      <alignment/>
      <protection locked="0"/>
    </xf>
    <xf numFmtId="2" fontId="45" fillId="0" borderId="0" xfId="33" applyNumberFormat="1" applyFont="1" applyFill="1" applyAlignment="1" applyProtection="1">
      <alignment horizontal="center"/>
      <protection/>
    </xf>
    <xf numFmtId="0" fontId="37" fillId="0" borderId="44" xfId="33" applyFont="1" applyFill="1" applyBorder="1" applyAlignment="1" applyProtection="1">
      <alignment horizontal="center"/>
      <protection locked="0"/>
    </xf>
    <xf numFmtId="0" fontId="37" fillId="0" borderId="45" xfId="33" applyFont="1" applyFill="1" applyBorder="1" applyAlignment="1" applyProtection="1">
      <alignment horizontal="center"/>
      <protection locked="0"/>
    </xf>
    <xf numFmtId="0" fontId="37" fillId="0" borderId="46" xfId="33" applyFont="1" applyFill="1" applyBorder="1" applyAlignment="1" applyProtection="1">
      <alignment horizontal="center"/>
      <protection locked="0"/>
    </xf>
    <xf numFmtId="2" fontId="46" fillId="0" borderId="47" xfId="33" applyNumberFormat="1" applyFont="1" applyFill="1" applyBorder="1" applyAlignment="1" applyProtection="1">
      <alignment horizontal="center"/>
      <protection/>
    </xf>
    <xf numFmtId="0" fontId="35" fillId="0" borderId="48" xfId="0" applyFont="1" applyFill="1" applyBorder="1" applyAlignment="1" applyProtection="1">
      <alignment vertical="center"/>
      <protection locked="0"/>
    </xf>
    <xf numFmtId="2" fontId="45" fillId="0" borderId="49" xfId="33" applyNumberFormat="1" applyFont="1" applyFill="1" applyBorder="1" applyAlignment="1" applyProtection="1">
      <alignment horizontal="center"/>
      <protection/>
    </xf>
    <xf numFmtId="0" fontId="40" fillId="0" borderId="50" xfId="33" applyFont="1" applyFill="1" applyBorder="1" applyProtection="1">
      <alignment/>
      <protection/>
    </xf>
    <xf numFmtId="0" fontId="40" fillId="0" borderId="51" xfId="33" applyFont="1" applyFill="1" applyBorder="1" applyProtection="1">
      <alignment/>
      <protection/>
    </xf>
    <xf numFmtId="0" fontId="40" fillId="0" borderId="52" xfId="33" applyFont="1" applyFill="1" applyBorder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33" fillId="0" borderId="32" xfId="33" applyFont="1" applyFill="1" applyBorder="1" applyAlignment="1" applyProtection="1">
      <alignment horizontal="center"/>
      <protection/>
    </xf>
    <xf numFmtId="0" fontId="38" fillId="0" borderId="32" xfId="33" applyFont="1" applyFill="1" applyBorder="1" applyAlignment="1" applyProtection="1">
      <alignment horizontal="left"/>
      <protection/>
    </xf>
    <xf numFmtId="2" fontId="38" fillId="0" borderId="32" xfId="33" applyNumberFormat="1" applyFont="1" applyFill="1" applyBorder="1" applyAlignment="1" applyProtection="1">
      <alignment horizontal="center"/>
      <protection/>
    </xf>
    <xf numFmtId="0" fontId="43" fillId="0" borderId="32" xfId="0" applyFont="1" applyFill="1" applyBorder="1" applyAlignment="1" applyProtection="1">
      <alignment/>
      <protection/>
    </xf>
    <xf numFmtId="0" fontId="43" fillId="0" borderId="53" xfId="0" applyFont="1" applyFill="1" applyBorder="1" applyAlignment="1" applyProtection="1">
      <alignment horizontal="center"/>
      <protection/>
    </xf>
    <xf numFmtId="0" fontId="4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horizontal="center" vertical="center" wrapText="1"/>
      <protection/>
    </xf>
    <xf numFmtId="2" fontId="42" fillId="0" borderId="32" xfId="0" applyNumberFormat="1" applyFont="1" applyFill="1" applyBorder="1" applyAlignment="1" applyProtection="1">
      <alignment horizontal="center" vertical="top" wrapText="1"/>
      <protection/>
    </xf>
    <xf numFmtId="0" fontId="33" fillId="0" borderId="32" xfId="0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/>
      <protection/>
    </xf>
    <xf numFmtId="0" fontId="32" fillId="0" borderId="32" xfId="0" applyFont="1" applyFill="1" applyBorder="1" applyAlignment="1" applyProtection="1">
      <alignment wrapText="1"/>
      <protection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73" fillId="0" borderId="31" xfId="33" applyFont="1" applyFill="1" applyBorder="1" applyAlignment="1" applyProtection="1">
      <alignment horizontal="right"/>
      <protection locked="0"/>
    </xf>
    <xf numFmtId="0" fontId="73" fillId="0" borderId="32" xfId="33" applyFont="1" applyFill="1" applyBorder="1" applyAlignment="1" applyProtection="1">
      <alignment horizontal="right"/>
      <protection locked="0"/>
    </xf>
    <xf numFmtId="0" fontId="73" fillId="0" borderId="33" xfId="33" applyFont="1" applyFill="1" applyBorder="1" applyAlignment="1" applyProtection="1">
      <alignment horizontal="right"/>
      <protection locked="0"/>
    </xf>
    <xf numFmtId="2" fontId="67" fillId="0" borderId="55" xfId="33" applyNumberFormat="1" applyFont="1" applyFill="1" applyBorder="1" applyAlignment="1" applyProtection="1">
      <alignment/>
      <protection/>
    </xf>
    <xf numFmtId="2" fontId="50" fillId="0" borderId="32" xfId="33" applyNumberFormat="1" applyFont="1" applyFill="1" applyBorder="1" applyAlignment="1" applyProtection="1">
      <alignment vertical="center"/>
      <protection/>
    </xf>
    <xf numFmtId="2" fontId="50" fillId="0" borderId="3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54" xfId="0" applyFont="1" applyFill="1" applyBorder="1" applyAlignment="1" applyProtection="1">
      <alignment horizontal="left" vertical="center" wrapText="1"/>
      <protection locked="0"/>
    </xf>
    <xf numFmtId="0" fontId="74" fillId="0" borderId="4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 applyProtection="1">
      <alignment/>
      <protection/>
    </xf>
    <xf numFmtId="0" fontId="33" fillId="0" borderId="0" xfId="33" applyFont="1" applyFill="1" applyBorder="1" applyAlignment="1" applyProtection="1">
      <alignment horizontal="right"/>
      <protection/>
    </xf>
    <xf numFmtId="0" fontId="35" fillId="0" borderId="0" xfId="0" applyFont="1" applyAlignment="1" applyProtection="1">
      <alignment/>
      <protection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horizontal="left" vertical="center"/>
      <protection locked="0"/>
    </xf>
    <xf numFmtId="0" fontId="0" fillId="0" borderId="32" xfId="0" applyFont="1" applyFill="1" applyBorder="1" applyAlignment="1" applyProtection="1">
      <alignment/>
      <protection/>
    </xf>
    <xf numFmtId="0" fontId="70" fillId="0" borderId="54" xfId="0" applyFont="1" applyFill="1" applyBorder="1" applyAlignment="1" applyProtection="1">
      <alignment horizontal="center" vertical="center" wrapText="1"/>
      <protection locked="0"/>
    </xf>
    <xf numFmtId="0" fontId="50" fillId="0" borderId="32" xfId="0" applyFont="1" applyFill="1" applyBorder="1" applyAlignment="1">
      <alignment wrapText="1"/>
    </xf>
    <xf numFmtId="0" fontId="32" fillId="0" borderId="54" xfId="0" applyFont="1" applyFill="1" applyBorder="1" applyAlignment="1" applyProtection="1">
      <alignment horizontal="center" vertical="center" wrapText="1"/>
      <protection locked="0"/>
    </xf>
    <xf numFmtId="0" fontId="56" fillId="0" borderId="40" xfId="0" applyFont="1" applyFill="1" applyBorder="1" applyAlignment="1" applyProtection="1">
      <alignment horizontal="center" vertical="center" wrapText="1"/>
      <protection/>
    </xf>
    <xf numFmtId="0" fontId="48" fillId="0" borderId="56" xfId="33" applyFont="1" applyFill="1" applyBorder="1" applyAlignment="1" applyProtection="1">
      <alignment horizontal="right"/>
      <protection locked="0"/>
    </xf>
    <xf numFmtId="0" fontId="48" fillId="0" borderId="57" xfId="33" applyFont="1" applyFill="1" applyBorder="1" applyAlignment="1" applyProtection="1">
      <alignment horizontal="right"/>
      <protection locked="0"/>
    </xf>
    <xf numFmtId="0" fontId="48" fillId="0" borderId="58" xfId="33" applyFont="1" applyFill="1" applyBorder="1" applyAlignment="1" applyProtection="1">
      <alignment horizontal="right"/>
      <protection locked="0"/>
    </xf>
    <xf numFmtId="2" fontId="10" fillId="0" borderId="59" xfId="33" applyNumberFormat="1" applyFont="1" applyFill="1" applyBorder="1" applyAlignment="1" applyProtection="1">
      <alignment vertical="center"/>
      <protection/>
    </xf>
    <xf numFmtId="2" fontId="10" fillId="0" borderId="59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48" fillId="0" borderId="31" xfId="33" applyFont="1" applyFill="1" applyBorder="1" applyAlignment="1" applyProtection="1">
      <alignment horizontal="right"/>
      <protection locked="0"/>
    </xf>
    <xf numFmtId="0" fontId="48" fillId="0" borderId="32" xfId="33" applyFont="1" applyFill="1" applyBorder="1" applyAlignment="1" applyProtection="1">
      <alignment horizontal="right"/>
      <protection locked="0"/>
    </xf>
    <xf numFmtId="0" fontId="48" fillId="0" borderId="33" xfId="33" applyFont="1" applyFill="1" applyBorder="1" applyAlignment="1" applyProtection="1">
      <alignment horizontal="right"/>
      <protection locked="0"/>
    </xf>
    <xf numFmtId="2" fontId="10" fillId="0" borderId="32" xfId="33" applyNumberFormat="1" applyFont="1" applyFill="1" applyBorder="1" applyAlignment="1" applyProtection="1">
      <alignment vertical="center"/>
      <protection/>
    </xf>
    <xf numFmtId="2" fontId="10" fillId="0" borderId="32" xfId="0" applyNumberFormat="1" applyFont="1" applyFill="1" applyBorder="1" applyAlignment="1" applyProtection="1">
      <alignment vertical="center"/>
      <protection/>
    </xf>
    <xf numFmtId="0" fontId="32" fillId="0" borderId="60" xfId="0" applyFont="1" applyFill="1" applyBorder="1" applyAlignment="1" applyProtection="1">
      <alignment vertical="center"/>
      <protection/>
    </xf>
    <xf numFmtId="2" fontId="10" fillId="0" borderId="4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wrapText="1"/>
      <protection/>
    </xf>
    <xf numFmtId="2" fontId="44" fillId="0" borderId="55" xfId="33" applyNumberFormat="1" applyFont="1" applyFill="1" applyBorder="1" applyAlignment="1" applyProtection="1">
      <alignment/>
      <protection/>
    </xf>
    <xf numFmtId="0" fontId="50" fillId="0" borderId="32" xfId="0" applyFont="1" applyFill="1" applyBorder="1" applyAlignment="1">
      <alignment horizontal="left" wrapText="1"/>
    </xf>
    <xf numFmtId="0" fontId="50" fillId="0" borderId="32" xfId="0" applyFont="1" applyFill="1" applyBorder="1" applyAlignment="1">
      <alignment vertical="center" wrapText="1"/>
    </xf>
    <xf numFmtId="0" fontId="48" fillId="0" borderId="31" xfId="33" applyFont="1" applyFill="1" applyBorder="1" applyAlignment="1" applyProtection="1">
      <alignment horizontal="right" vertical="center"/>
      <protection locked="0"/>
    </xf>
    <xf numFmtId="0" fontId="48" fillId="0" borderId="32" xfId="33" applyFont="1" applyFill="1" applyBorder="1" applyAlignment="1" applyProtection="1">
      <alignment horizontal="right" vertical="center"/>
      <protection locked="0"/>
    </xf>
    <xf numFmtId="0" fontId="48" fillId="0" borderId="33" xfId="33" applyFont="1" applyFill="1" applyBorder="1" applyAlignment="1" applyProtection="1">
      <alignment horizontal="right" vertical="center"/>
      <protection locked="0"/>
    </xf>
    <xf numFmtId="0" fontId="32" fillId="0" borderId="0" xfId="0" applyFont="1" applyFill="1" applyAlignment="1" applyProtection="1">
      <alignment vertical="center" wrapText="1"/>
      <protection/>
    </xf>
    <xf numFmtId="0" fontId="32" fillId="0" borderId="32" xfId="0" applyFont="1" applyFill="1" applyBorder="1" applyAlignment="1" applyProtection="1">
      <alignment vertical="center" wrapText="1"/>
      <protection/>
    </xf>
    <xf numFmtId="0" fontId="50" fillId="0" borderId="54" xfId="0" applyFont="1" applyFill="1" applyBorder="1" applyAlignment="1" applyProtection="1">
      <alignment horizontal="left" vertical="center" wrapText="1"/>
      <protection locked="0"/>
    </xf>
    <xf numFmtId="0" fontId="0" fillId="0" borderId="60" xfId="0" applyFont="1" applyFill="1" applyBorder="1" applyAlignment="1" applyProtection="1">
      <alignment vertical="center"/>
      <protection/>
    </xf>
    <xf numFmtId="2" fontId="50" fillId="0" borderId="4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32" xfId="0" applyFill="1" applyBorder="1" applyAlignment="1">
      <alignment shrinkToFit="1"/>
    </xf>
    <xf numFmtId="0" fontId="0" fillId="45" borderId="54" xfId="0" applyFont="1" applyFill="1" applyBorder="1" applyAlignment="1" applyProtection="1">
      <alignment horizontal="center" vertical="center" wrapText="1"/>
      <protection locked="0"/>
    </xf>
    <xf numFmtId="0" fontId="32" fillId="45" borderId="54" xfId="0" applyFont="1" applyFill="1" applyBorder="1" applyAlignment="1" applyProtection="1">
      <alignment horizontal="center" vertical="center" wrapText="1"/>
      <protection locked="0"/>
    </xf>
    <xf numFmtId="4" fontId="32" fillId="0" borderId="0" xfId="0" applyNumberFormat="1" applyFont="1" applyAlignment="1" applyProtection="1">
      <alignment/>
      <protection/>
    </xf>
    <xf numFmtId="4" fontId="32" fillId="0" borderId="61" xfId="0" applyNumberFormat="1" applyFont="1" applyBorder="1" applyAlignment="1" applyProtection="1">
      <alignment/>
      <protection/>
    </xf>
    <xf numFmtId="4" fontId="32" fillId="0" borderId="33" xfId="0" applyNumberFormat="1" applyFont="1" applyBorder="1" applyAlignment="1" applyProtection="1">
      <alignment/>
      <protection/>
    </xf>
    <xf numFmtId="4" fontId="32" fillId="0" borderId="36" xfId="0" applyNumberFormat="1" applyFont="1" applyBorder="1" applyAlignment="1" applyProtection="1">
      <alignment vertical="center"/>
      <protection/>
    </xf>
    <xf numFmtId="0" fontId="96" fillId="0" borderId="0" xfId="0" applyFont="1" applyFill="1" applyBorder="1" applyAlignment="1" applyProtection="1">
      <alignment horizontal="center" vertical="center" wrapText="1"/>
      <protection/>
    </xf>
    <xf numFmtId="0" fontId="97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2" fontId="32" fillId="0" borderId="0" xfId="0" applyNumberFormat="1" applyFont="1" applyFill="1" applyBorder="1" applyAlignment="1" applyProtection="1">
      <alignment horizontal="right"/>
      <protection/>
    </xf>
    <xf numFmtId="0" fontId="32" fillId="0" borderId="0" xfId="0" applyFont="1" applyFill="1" applyBorder="1" applyAlignment="1" applyProtection="1">
      <alignment wrapText="1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32" fillId="0" borderId="0" xfId="0" applyNumberFormat="1" applyFont="1" applyFill="1" applyBorder="1" applyAlignment="1" applyProtection="1">
      <alignment horizontal="right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2" fontId="32" fillId="0" borderId="0" xfId="0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0" fontId="54" fillId="0" borderId="0" xfId="0" applyFont="1" applyFill="1" applyBorder="1" applyAlignment="1" applyProtection="1">
      <alignment/>
      <protection/>
    </xf>
    <xf numFmtId="2" fontId="55" fillId="0" borderId="0" xfId="0" applyNumberFormat="1" applyFont="1" applyFill="1" applyBorder="1" applyAlignment="1">
      <alignment horizontal="right" wrapText="1"/>
    </xf>
    <xf numFmtId="0" fontId="78" fillId="0" borderId="0" xfId="0" applyFont="1" applyFill="1" applyBorder="1" applyAlignment="1" applyProtection="1">
      <alignment wrapText="1"/>
      <protection/>
    </xf>
    <xf numFmtId="2" fontId="51" fillId="0" borderId="0" xfId="0" applyNumberFormat="1" applyFont="1" applyFill="1" applyBorder="1" applyAlignment="1">
      <alignment horizontal="right" wrapText="1"/>
    </xf>
    <xf numFmtId="0" fontId="32" fillId="0" borderId="0" xfId="0" applyFont="1" applyBorder="1" applyAlignment="1" applyProtection="1">
      <alignment/>
      <protection/>
    </xf>
    <xf numFmtId="2" fontId="32" fillId="0" borderId="32" xfId="0" applyNumberFormat="1" applyFont="1" applyFill="1" applyBorder="1" applyAlignment="1" applyProtection="1">
      <alignment/>
      <protection/>
    </xf>
    <xf numFmtId="4" fontId="32" fillId="0" borderId="32" xfId="0" applyNumberFormat="1" applyFont="1" applyFill="1" applyBorder="1" applyAlignment="1" applyProtection="1">
      <alignment/>
      <protection/>
    </xf>
    <xf numFmtId="2" fontId="32" fillId="0" borderId="32" xfId="0" applyNumberFormat="1" applyFont="1" applyFill="1" applyBorder="1" applyAlignment="1" applyProtection="1">
      <alignment vertical="center"/>
      <protection/>
    </xf>
    <xf numFmtId="2" fontId="0" fillId="0" borderId="32" xfId="0" applyNumberFormat="1" applyFont="1" applyFill="1" applyBorder="1" applyAlignment="1" applyProtection="1">
      <alignment/>
      <protection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/>
    </xf>
    <xf numFmtId="0" fontId="5" fillId="0" borderId="25" xfId="33" applyFont="1" applyFill="1" applyBorder="1" applyAlignment="1">
      <alignment horizontal="center" vertical="center"/>
      <protection/>
    </xf>
    <xf numFmtId="0" fontId="5" fillId="0" borderId="26" xfId="33" applyFont="1" applyFill="1" applyBorder="1" applyAlignment="1">
      <alignment horizontal="center" vertical="center"/>
      <protection/>
    </xf>
    <xf numFmtId="0" fontId="5" fillId="0" borderId="27" xfId="33" applyFont="1" applyFill="1" applyBorder="1" applyAlignment="1">
      <alignment horizontal="center" vertical="center"/>
      <protection/>
    </xf>
    <xf numFmtId="0" fontId="5" fillId="0" borderId="62" xfId="33" applyFont="1" applyFill="1" applyBorder="1" applyAlignment="1">
      <alignment horizontal="center" vertical="center"/>
      <protection/>
    </xf>
    <xf numFmtId="0" fontId="5" fillId="0" borderId="63" xfId="33" applyFont="1" applyFill="1" applyBorder="1" applyAlignment="1">
      <alignment horizontal="center" vertical="center"/>
      <protection/>
    </xf>
    <xf numFmtId="0" fontId="5" fillId="0" borderId="64" xfId="33" applyFont="1" applyFill="1" applyBorder="1" applyAlignment="1">
      <alignment horizontal="center" vertical="center"/>
      <protection/>
    </xf>
    <xf numFmtId="2" fontId="43" fillId="0" borderId="32" xfId="0" applyNumberFormat="1" applyFont="1" applyFill="1" applyBorder="1" applyAlignment="1" applyProtection="1">
      <alignment horizontal="center" vertical="center" wrapText="1"/>
      <protection/>
    </xf>
    <xf numFmtId="0" fontId="96" fillId="0" borderId="0" xfId="0" applyFont="1" applyFill="1" applyAlignment="1" applyProtection="1">
      <alignment horizontal="center" textRotation="90"/>
      <protection/>
    </xf>
    <xf numFmtId="0" fontId="43" fillId="0" borderId="65" xfId="0" applyFont="1" applyBorder="1" applyAlignment="1" applyProtection="1">
      <alignment horizontal="center"/>
      <protection/>
    </xf>
    <xf numFmtId="0" fontId="43" fillId="0" borderId="66" xfId="0" applyFont="1" applyBorder="1" applyAlignment="1" applyProtection="1">
      <alignment horizontal="center"/>
      <protection/>
    </xf>
    <xf numFmtId="0" fontId="43" fillId="0" borderId="31" xfId="0" applyFont="1" applyBorder="1" applyAlignment="1" applyProtection="1">
      <alignment horizontal="center"/>
      <protection/>
    </xf>
    <xf numFmtId="0" fontId="43" fillId="0" borderId="32" xfId="0" applyFont="1" applyBorder="1" applyAlignment="1" applyProtection="1">
      <alignment horizontal="center"/>
      <protection/>
    </xf>
    <xf numFmtId="0" fontId="43" fillId="0" borderId="34" xfId="0" applyFont="1" applyBorder="1" applyAlignment="1" applyProtection="1">
      <alignment horizontal="center" wrapText="1"/>
      <protection/>
    </xf>
    <xf numFmtId="0" fontId="43" fillId="0" borderId="35" xfId="0" applyFont="1" applyBorder="1" applyAlignment="1" applyProtection="1">
      <alignment horizontal="center" wrapText="1"/>
      <protection/>
    </xf>
    <xf numFmtId="2" fontId="10" fillId="0" borderId="67" xfId="33" applyNumberFormat="1" applyFont="1" applyFill="1" applyBorder="1" applyAlignment="1" applyProtection="1">
      <alignment vertical="center"/>
      <protection/>
    </xf>
    <xf numFmtId="2" fontId="10" fillId="0" borderId="68" xfId="33" applyNumberFormat="1" applyFont="1" applyFill="1" applyBorder="1" applyAlignment="1" applyProtection="1">
      <alignment vertical="center"/>
      <protection/>
    </xf>
    <xf numFmtId="2" fontId="50" fillId="0" borderId="68" xfId="33" applyNumberFormat="1" applyFont="1" applyFill="1" applyBorder="1" applyAlignment="1" applyProtection="1">
      <alignment vertical="center"/>
      <protection/>
    </xf>
    <xf numFmtId="0" fontId="96" fillId="0" borderId="0" xfId="0" applyFont="1" applyFill="1" applyBorder="1" applyAlignment="1" applyProtection="1">
      <alignment horizontal="center" textRotation="90"/>
      <protection/>
    </xf>
    <xf numFmtId="0" fontId="10" fillId="0" borderId="0" xfId="33" applyFont="1" applyFill="1" applyBorder="1" applyProtection="1">
      <alignment/>
      <protection/>
    </xf>
    <xf numFmtId="0" fontId="40" fillId="0" borderId="0" xfId="33" applyFont="1" applyFill="1" applyBorder="1" applyProtection="1">
      <alignment/>
      <protection/>
    </xf>
    <xf numFmtId="0" fontId="10" fillId="0" borderId="0" xfId="33" applyFont="1" applyFill="1" applyBorder="1" applyAlignment="1" applyProtection="1">
      <alignment vertical="center"/>
      <protection/>
    </xf>
    <xf numFmtId="0" fontId="50" fillId="0" borderId="0" xfId="33" applyFont="1" applyFill="1" applyBorder="1" applyProtection="1">
      <alignment/>
      <protection/>
    </xf>
    <xf numFmtId="0" fontId="75" fillId="0" borderId="0" xfId="33" applyFont="1" applyFill="1" applyBorder="1" applyProtection="1">
      <alignment/>
      <protection/>
    </xf>
    <xf numFmtId="0" fontId="32" fillId="0" borderId="69" xfId="0" applyFont="1" applyFill="1" applyBorder="1" applyAlignment="1" applyProtection="1">
      <alignment/>
      <protection locked="0"/>
    </xf>
    <xf numFmtId="0" fontId="32" fillId="0" borderId="70" xfId="0" applyFont="1" applyFill="1" applyBorder="1" applyAlignment="1" applyProtection="1">
      <alignment/>
      <protection locked="0"/>
    </xf>
    <xf numFmtId="0" fontId="32" fillId="0" borderId="71" xfId="0" applyFont="1" applyFill="1" applyBorder="1" applyAlignment="1" applyProtection="1">
      <alignment horizontal="center" vertical="center" wrapText="1"/>
      <protection locked="0"/>
    </xf>
    <xf numFmtId="0" fontId="40" fillId="0" borderId="72" xfId="0" applyFont="1" applyFill="1" applyBorder="1" applyAlignment="1" applyProtection="1">
      <alignment horizontal="left" vertical="center" wrapText="1"/>
      <protection locked="0"/>
    </xf>
    <xf numFmtId="0" fontId="42" fillId="0" borderId="72" xfId="0" applyFont="1" applyFill="1" applyBorder="1" applyAlignment="1" applyProtection="1">
      <alignment horizontal="center" vertical="center" textRotation="90" wrapText="1"/>
      <protection locked="0"/>
    </xf>
    <xf numFmtId="0" fontId="56" fillId="0" borderId="73" xfId="33" applyFont="1" applyFill="1" applyBorder="1" applyAlignment="1" applyProtection="1">
      <alignment horizontal="center" vertical="center" textRotation="90"/>
      <protection/>
    </xf>
    <xf numFmtId="0" fontId="38" fillId="0" borderId="56" xfId="33" applyFont="1" applyFill="1" applyBorder="1" applyAlignment="1" applyProtection="1">
      <alignment horizontal="center" wrapText="1"/>
      <protection locked="0"/>
    </xf>
    <xf numFmtId="0" fontId="38" fillId="0" borderId="57" xfId="33" applyFont="1" applyFill="1" applyBorder="1" applyAlignment="1" applyProtection="1">
      <alignment horizontal="center" wrapText="1"/>
      <protection locked="0"/>
    </xf>
    <xf numFmtId="0" fontId="38" fillId="0" borderId="58" xfId="33" applyFont="1" applyFill="1" applyBorder="1" applyAlignment="1" applyProtection="1">
      <alignment horizontal="center" wrapText="1"/>
      <protection locked="0"/>
    </xf>
    <xf numFmtId="2" fontId="47" fillId="0" borderId="74" xfId="33" applyNumberFormat="1" applyFont="1" applyFill="1" applyBorder="1" applyAlignment="1" applyProtection="1">
      <alignment vertical="top"/>
      <protection/>
    </xf>
    <xf numFmtId="0" fontId="32" fillId="0" borderId="75" xfId="0" applyFont="1" applyFill="1" applyBorder="1" applyAlignment="1" applyProtection="1">
      <alignment horizontal="center" vertical="center"/>
      <protection locked="0"/>
    </xf>
    <xf numFmtId="2" fontId="44" fillId="0" borderId="16" xfId="33" applyNumberFormat="1" applyFont="1" applyFill="1" applyBorder="1" applyAlignment="1" applyProtection="1">
      <alignment/>
      <protection/>
    </xf>
    <xf numFmtId="2" fontId="44" fillId="0" borderId="55" xfId="33" applyNumberFormat="1" applyFont="1" applyFill="1" applyBorder="1" applyAlignment="1" applyProtection="1">
      <alignment vertical="center"/>
      <protection/>
    </xf>
    <xf numFmtId="0" fontId="32" fillId="0" borderId="76" xfId="0" applyFont="1" applyFill="1" applyBorder="1" applyAlignment="1" applyProtection="1">
      <alignment horizontal="center" vertical="center"/>
      <protection locked="0"/>
    </xf>
    <xf numFmtId="0" fontId="0" fillId="0" borderId="77" xfId="0" applyFont="1" applyFill="1" applyBorder="1" applyAlignment="1" applyProtection="1">
      <alignment horizontal="left" vertical="center" wrapText="1"/>
      <protection locked="0"/>
    </xf>
    <xf numFmtId="0" fontId="0" fillId="0" borderId="77" xfId="0" applyFont="1" applyFill="1" applyBorder="1" applyAlignment="1" applyProtection="1">
      <alignment horizontal="center" vertical="center" wrapText="1"/>
      <protection locked="0"/>
    </xf>
    <xf numFmtId="0" fontId="74" fillId="0" borderId="78" xfId="0" applyFont="1" applyFill="1" applyBorder="1" applyAlignment="1" applyProtection="1">
      <alignment horizontal="center" vertical="center" wrapText="1"/>
      <protection/>
    </xf>
    <xf numFmtId="0" fontId="73" fillId="0" borderId="34" xfId="33" applyFont="1" applyFill="1" applyBorder="1" applyAlignment="1" applyProtection="1">
      <alignment horizontal="right"/>
      <protection locked="0"/>
    </xf>
    <xf numFmtId="0" fontId="73" fillId="0" borderId="35" xfId="33" applyFont="1" applyFill="1" applyBorder="1" applyAlignment="1" applyProtection="1">
      <alignment horizontal="right"/>
      <protection locked="0"/>
    </xf>
    <xf numFmtId="0" fontId="73" fillId="0" borderId="36" xfId="33" applyFont="1" applyFill="1" applyBorder="1" applyAlignment="1" applyProtection="1">
      <alignment horizontal="right"/>
      <protection locked="0"/>
    </xf>
    <xf numFmtId="2" fontId="67" fillId="0" borderId="79" xfId="33" applyNumberFormat="1" applyFont="1" applyFill="1" applyBorder="1" applyAlignment="1" applyProtection="1">
      <alignment/>
      <protection/>
    </xf>
  </cellXfs>
  <cellStyles count="56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Normal 3" xfId="34"/>
    <cellStyle name="NP Formulas" xfId="35"/>
    <cellStyle name="NP Heading 1" xfId="36"/>
    <cellStyle name="NP Results" xfId="37"/>
    <cellStyle name="NP Rows title 1" xfId="38"/>
    <cellStyle name="WEEK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Comma" xfId="56"/>
    <cellStyle name="Comma [0]" xfId="57"/>
    <cellStyle name="Currency" xfId="58"/>
    <cellStyle name="Currency [0]" xfId="59"/>
    <cellStyle name="Ουδέτερο" xfId="60"/>
    <cellStyle name="Percent" xfId="61"/>
    <cellStyle name="Προειδοποιητικό κείμενο" xfId="62"/>
    <cellStyle name="Σημείωση" xfId="63"/>
    <cellStyle name="Συνδεδεμένο κελί" xfId="64"/>
    <cellStyle name="Σύνολο" xfId="65"/>
    <cellStyle name="Τίτλος" xfId="66"/>
    <cellStyle name="Hyperlink" xfId="67"/>
    <cellStyle name="Followed Hyperlink" xfId="68"/>
    <cellStyle name="Υπολογισμός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O4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2.140625" style="2" customWidth="1"/>
    <col min="2" max="8" width="11.28125" style="2" customWidth="1"/>
    <col min="9" max="11" width="9.140625" style="2" customWidth="1"/>
    <col min="12" max="12" width="6.421875" style="2" bestFit="1" customWidth="1"/>
    <col min="13" max="13" width="10.140625" style="2" bestFit="1" customWidth="1"/>
    <col min="14" max="14" width="6.28125" style="2" bestFit="1" customWidth="1"/>
    <col min="15" max="16384" width="9.140625" style="2" customWidth="1"/>
  </cols>
  <sheetData>
    <row r="1" ht="18.75">
      <c r="A1" s="104" t="s">
        <v>41</v>
      </c>
    </row>
    <row r="2" ht="12.75">
      <c r="A2" s="77"/>
    </row>
    <row r="3" ht="5.25" customHeight="1">
      <c r="A3" s="74"/>
    </row>
    <row r="4" spans="1:2" ht="15.75">
      <c r="A4" s="76" t="s">
        <v>63</v>
      </c>
      <c r="B4" s="117">
        <v>1.51</v>
      </c>
    </row>
    <row r="5" ht="5.25" customHeight="1">
      <c r="A5" s="74"/>
    </row>
    <row r="6" spans="2:14" ht="13.5" customHeight="1">
      <c r="B6" s="3" t="s">
        <v>60</v>
      </c>
      <c r="C6" s="73" t="s">
        <v>52</v>
      </c>
      <c r="D6" s="75" t="s">
        <v>50</v>
      </c>
      <c r="E6" s="75" t="s">
        <v>48</v>
      </c>
      <c r="F6" s="73" t="s">
        <v>55</v>
      </c>
      <c r="G6" s="73" t="s">
        <v>53</v>
      </c>
      <c r="H6" s="73" t="s">
        <v>55</v>
      </c>
      <c r="I6" s="73"/>
      <c r="L6" s="121" t="s">
        <v>77</v>
      </c>
      <c r="M6" s="121" t="s">
        <v>78</v>
      </c>
      <c r="N6" s="121" t="s">
        <v>79</v>
      </c>
    </row>
    <row r="7" spans="2:15" ht="12.75">
      <c r="B7" s="3" t="s">
        <v>62</v>
      </c>
      <c r="C7" s="75" t="s">
        <v>61</v>
      </c>
      <c r="D7" s="3" t="s">
        <v>51</v>
      </c>
      <c r="E7" s="75" t="s">
        <v>49</v>
      </c>
      <c r="F7" s="73" t="s">
        <v>58</v>
      </c>
      <c r="G7" s="73" t="s">
        <v>54</v>
      </c>
      <c r="H7" s="73" t="s">
        <v>57</v>
      </c>
      <c r="I7" s="73"/>
      <c r="K7" s="73" t="s">
        <v>97</v>
      </c>
      <c r="L7" s="136">
        <v>8</v>
      </c>
      <c r="M7" s="138" t="s">
        <v>99</v>
      </c>
      <c r="N7" s="137">
        <v>20</v>
      </c>
      <c r="O7" s="73" t="s">
        <v>98</v>
      </c>
    </row>
    <row r="8" spans="1:15" ht="15.75">
      <c r="A8" s="3" t="s">
        <v>68</v>
      </c>
      <c r="B8" s="4">
        <v>250000</v>
      </c>
      <c r="C8" s="4">
        <v>3000</v>
      </c>
      <c r="D8" s="4">
        <v>540</v>
      </c>
      <c r="E8" s="4">
        <v>550</v>
      </c>
      <c r="F8" s="108">
        <f>((B8/15)+C8+D8)/2496</f>
        <v>8.09561965811966</v>
      </c>
      <c r="G8" s="4">
        <v>30000</v>
      </c>
      <c r="H8" s="109">
        <f>G8/1980</f>
        <v>15.151515151515152</v>
      </c>
      <c r="I8" s="4"/>
      <c r="J8" s="72"/>
      <c r="L8" s="124" t="s">
        <v>64</v>
      </c>
      <c r="M8" s="125" t="s">
        <v>81</v>
      </c>
      <c r="N8" s="126" t="s">
        <v>88</v>
      </c>
      <c r="O8" s="135">
        <v>100</v>
      </c>
    </row>
    <row r="9" spans="1:10" ht="12.75">
      <c r="A9" s="3" t="s">
        <v>40</v>
      </c>
      <c r="B9" s="4">
        <v>150000</v>
      </c>
      <c r="C9" s="72">
        <f>C8</f>
        <v>3000</v>
      </c>
      <c r="D9" s="4">
        <v>390</v>
      </c>
      <c r="E9" s="72">
        <f>E8</f>
        <v>550</v>
      </c>
      <c r="F9" s="108">
        <f>((B9/15)+C9+D9)/2496</f>
        <v>5.364583333333333</v>
      </c>
      <c r="G9" s="72">
        <f>G8</f>
        <v>30000</v>
      </c>
      <c r="H9" s="109">
        <f>G9/1980</f>
        <v>15.151515151515152</v>
      </c>
      <c r="I9" s="72"/>
      <c r="J9" s="72"/>
    </row>
    <row r="10" spans="1:10" ht="12.75">
      <c r="A10" s="3" t="s">
        <v>47</v>
      </c>
      <c r="B10" s="4">
        <v>25000</v>
      </c>
      <c r="C10" s="4">
        <v>1200</v>
      </c>
      <c r="D10" s="4">
        <v>260</v>
      </c>
      <c r="E10" s="4">
        <v>200</v>
      </c>
      <c r="F10" s="108">
        <f>((B10/15)+C10+D10)/2496</f>
        <v>1.2526709401709404</v>
      </c>
      <c r="G10" s="4">
        <v>25000</v>
      </c>
      <c r="H10" s="109">
        <f>G10/1980</f>
        <v>12.626262626262626</v>
      </c>
      <c r="I10" s="4"/>
      <c r="J10" s="72"/>
    </row>
    <row r="11" spans="1:6" ht="7.5" customHeight="1">
      <c r="A11" s="6"/>
      <c r="E11" s="5"/>
      <c r="F11" s="5"/>
    </row>
    <row r="12" spans="1:6" ht="12.75">
      <c r="A12" s="78" t="s">
        <v>56</v>
      </c>
      <c r="E12" s="6"/>
      <c r="F12" s="6"/>
    </row>
    <row r="13" spans="1:6" ht="15.75" customHeight="1">
      <c r="A13" s="78" t="s">
        <v>59</v>
      </c>
      <c r="B13" s="5"/>
      <c r="C13" s="5"/>
      <c r="D13" s="5"/>
      <c r="F13" s="5"/>
    </row>
    <row r="14" ht="12.75">
      <c r="A14" s="78"/>
    </row>
    <row r="15" ht="9.75" customHeight="1" thickBot="1"/>
    <row r="16" spans="2:8" ht="13.5" thickBot="1">
      <c r="B16" s="7" t="s">
        <v>0</v>
      </c>
      <c r="C16" s="8"/>
      <c r="D16" s="9" t="s">
        <v>1</v>
      </c>
      <c r="E16" s="8"/>
      <c r="F16" s="9" t="s">
        <v>2</v>
      </c>
      <c r="G16" s="10"/>
      <c r="H16" s="11"/>
    </row>
    <row r="17" spans="1:8" ht="14.25" thickBot="1" thickTop="1">
      <c r="A17" s="79" t="s">
        <v>46</v>
      </c>
      <c r="B17" s="112" t="s">
        <v>3</v>
      </c>
      <c r="C17" s="113" t="s">
        <v>4</v>
      </c>
      <c r="D17" s="113" t="s">
        <v>3</v>
      </c>
      <c r="E17" s="113" t="s">
        <v>4</v>
      </c>
      <c r="F17" s="113" t="s">
        <v>3</v>
      </c>
      <c r="G17" s="114" t="s">
        <v>4</v>
      </c>
      <c r="H17" s="11"/>
    </row>
    <row r="18" spans="2:8" ht="14.25" customHeight="1">
      <c r="B18" s="264" t="s">
        <v>5</v>
      </c>
      <c r="C18" s="265"/>
      <c r="D18" s="265"/>
      <c r="E18" s="265"/>
      <c r="F18" s="265"/>
      <c r="G18" s="266"/>
      <c r="H18" s="11"/>
    </row>
    <row r="19" spans="1:8" ht="14.25">
      <c r="A19" s="3" t="s">
        <v>68</v>
      </c>
      <c r="B19" s="101">
        <v>15</v>
      </c>
      <c r="C19" s="102">
        <v>12</v>
      </c>
      <c r="D19" s="102">
        <v>45</v>
      </c>
      <c r="E19" s="102">
        <v>35</v>
      </c>
      <c r="F19" s="102">
        <v>18</v>
      </c>
      <c r="G19" s="103">
        <v>8</v>
      </c>
      <c r="H19" s="11"/>
    </row>
    <row r="20" spans="1:8" ht="14.25">
      <c r="A20" s="3" t="s">
        <v>40</v>
      </c>
      <c r="B20" s="101">
        <v>18</v>
      </c>
      <c r="C20" s="102">
        <v>15</v>
      </c>
      <c r="D20" s="102">
        <v>45</v>
      </c>
      <c r="E20" s="102">
        <v>35</v>
      </c>
      <c r="F20" s="102">
        <v>18</v>
      </c>
      <c r="G20" s="103">
        <v>8</v>
      </c>
      <c r="H20" s="11"/>
    </row>
    <row r="21" spans="1:8" ht="14.25">
      <c r="A21" s="3" t="s">
        <v>47</v>
      </c>
      <c r="B21" s="101">
        <v>30</v>
      </c>
      <c r="C21" s="102">
        <v>25</v>
      </c>
      <c r="D21" s="102">
        <v>55</v>
      </c>
      <c r="E21" s="102">
        <v>45</v>
      </c>
      <c r="F21" s="102">
        <v>30</v>
      </c>
      <c r="G21" s="103">
        <v>25</v>
      </c>
      <c r="H21" s="11"/>
    </row>
    <row r="22" spans="2:7" ht="12.75">
      <c r="B22" s="261" t="s">
        <v>67</v>
      </c>
      <c r="C22" s="262"/>
      <c r="D22" s="262"/>
      <c r="E22" s="262"/>
      <c r="F22" s="262"/>
      <c r="G22" s="263"/>
    </row>
    <row r="23" spans="1:7" ht="12.75">
      <c r="A23" s="3" t="s">
        <v>68</v>
      </c>
      <c r="B23" s="83">
        <v>0.4587</v>
      </c>
      <c r="C23" s="84">
        <v>0.7278</v>
      </c>
      <c r="D23" s="84">
        <v>0.3812</v>
      </c>
      <c r="E23" s="84">
        <v>0.6081</v>
      </c>
      <c r="F23" s="84">
        <v>0.4149</v>
      </c>
      <c r="G23" s="85">
        <v>0.6337</v>
      </c>
    </row>
    <row r="24" spans="1:8" ht="12.75">
      <c r="A24" s="3" t="s">
        <v>40</v>
      </c>
      <c r="B24" s="83">
        <v>0.2029</v>
      </c>
      <c r="C24" s="84">
        <v>0.2145</v>
      </c>
      <c r="D24" s="84">
        <v>0.1862</v>
      </c>
      <c r="E24" s="84">
        <v>0.1993</v>
      </c>
      <c r="F24" s="84" t="s">
        <v>71</v>
      </c>
      <c r="G24" s="85">
        <v>0.23</v>
      </c>
      <c r="H24" s="73"/>
    </row>
    <row r="25" spans="1:7" ht="12.75">
      <c r="A25" s="3" t="s">
        <v>47</v>
      </c>
      <c r="B25" s="105">
        <v>0.1178</v>
      </c>
      <c r="C25" s="84">
        <v>0.1245</v>
      </c>
      <c r="D25" s="106">
        <v>0.1081</v>
      </c>
      <c r="E25" s="84">
        <v>0.1157</v>
      </c>
      <c r="F25" s="106">
        <v>0.1274</v>
      </c>
      <c r="G25" s="85">
        <v>0.1335</v>
      </c>
    </row>
    <row r="26" spans="2:7" ht="12.75">
      <c r="B26" s="261" t="s">
        <v>21</v>
      </c>
      <c r="C26" s="262"/>
      <c r="D26" s="262"/>
      <c r="E26" s="262"/>
      <c r="F26" s="262"/>
      <c r="G26" s="263"/>
    </row>
    <row r="27" spans="1:7" ht="12.75">
      <c r="A27" s="3" t="s">
        <v>68</v>
      </c>
      <c r="B27" s="86">
        <v>0.0793</v>
      </c>
      <c r="C27" s="87">
        <v>0.199</v>
      </c>
      <c r="D27" s="87">
        <v>0.0861</v>
      </c>
      <c r="E27" s="87">
        <v>0.2158</v>
      </c>
      <c r="F27" s="87">
        <v>0.0999</v>
      </c>
      <c r="G27" s="88">
        <v>0.2519</v>
      </c>
    </row>
    <row r="28" spans="1:7" ht="12.75">
      <c r="A28" s="3" t="s">
        <v>40</v>
      </c>
      <c r="B28" s="86">
        <v>0.0793</v>
      </c>
      <c r="C28" s="87">
        <v>0.199</v>
      </c>
      <c r="D28" s="87">
        <v>0.0861</v>
      </c>
      <c r="E28" s="87">
        <v>0.2158</v>
      </c>
      <c r="F28" s="87">
        <v>0.0999</v>
      </c>
      <c r="G28" s="88">
        <v>0.2519</v>
      </c>
    </row>
    <row r="29" spans="1:7" ht="12.75">
      <c r="A29" s="3" t="s">
        <v>47</v>
      </c>
      <c r="B29" s="86">
        <v>0.0528</v>
      </c>
      <c r="C29" s="87">
        <v>0.1326</v>
      </c>
      <c r="D29" s="87">
        <v>0.0574</v>
      </c>
      <c r="E29" s="87">
        <v>0.1439</v>
      </c>
      <c r="F29" s="87">
        <v>0.0666</v>
      </c>
      <c r="G29" s="88">
        <v>0.1679</v>
      </c>
    </row>
    <row r="30" spans="2:7" ht="12.75">
      <c r="B30" s="261" t="s">
        <v>42</v>
      </c>
      <c r="C30" s="262"/>
      <c r="D30" s="262"/>
      <c r="E30" s="262"/>
      <c r="F30" s="262"/>
      <c r="G30" s="263"/>
    </row>
    <row r="31" spans="1:7" ht="12.75">
      <c r="A31" s="3" t="s">
        <v>68</v>
      </c>
      <c r="B31" s="89">
        <f aca="true" t="shared" si="0" ref="B31:G31">(B27*$E$8)/1000</f>
        <v>0.043614999999999994</v>
      </c>
      <c r="C31" s="90">
        <f t="shared" si="0"/>
        <v>0.10945</v>
      </c>
      <c r="D31" s="90">
        <f t="shared" si="0"/>
        <v>0.047354999999999994</v>
      </c>
      <c r="E31" s="90">
        <f t="shared" si="0"/>
        <v>0.11869</v>
      </c>
      <c r="F31" s="90">
        <f t="shared" si="0"/>
        <v>0.054945</v>
      </c>
      <c r="G31" s="91">
        <f t="shared" si="0"/>
        <v>0.13854500000000003</v>
      </c>
    </row>
    <row r="32" spans="1:7" ht="12.75">
      <c r="A32" s="3" t="s">
        <v>40</v>
      </c>
      <c r="B32" s="89">
        <f aca="true" t="shared" si="1" ref="B32:G32">(B28*$E$9)/1000</f>
        <v>0.043614999999999994</v>
      </c>
      <c r="C32" s="90">
        <f t="shared" si="1"/>
        <v>0.10945</v>
      </c>
      <c r="D32" s="90">
        <f t="shared" si="1"/>
        <v>0.047354999999999994</v>
      </c>
      <c r="E32" s="90">
        <f t="shared" si="1"/>
        <v>0.11869</v>
      </c>
      <c r="F32" s="90">
        <f t="shared" si="1"/>
        <v>0.054945</v>
      </c>
      <c r="G32" s="91">
        <f t="shared" si="1"/>
        <v>0.13854500000000003</v>
      </c>
    </row>
    <row r="33" spans="1:7" ht="12.75">
      <c r="A33" s="3" t="s">
        <v>47</v>
      </c>
      <c r="B33" s="89">
        <f aca="true" t="shared" si="2" ref="B33:G33">(B29*$E$10)/1000</f>
        <v>0.01056</v>
      </c>
      <c r="C33" s="90">
        <f t="shared" si="2"/>
        <v>0.02652</v>
      </c>
      <c r="D33" s="90">
        <f t="shared" si="2"/>
        <v>0.01148</v>
      </c>
      <c r="E33" s="90">
        <f t="shared" si="2"/>
        <v>0.02878</v>
      </c>
      <c r="F33" s="90">
        <f t="shared" si="2"/>
        <v>0.013320000000000002</v>
      </c>
      <c r="G33" s="91">
        <f t="shared" si="2"/>
        <v>0.03358</v>
      </c>
    </row>
    <row r="34" spans="2:7" ht="12.75">
      <c r="B34" s="261" t="s">
        <v>70</v>
      </c>
      <c r="C34" s="262"/>
      <c r="D34" s="262"/>
      <c r="E34" s="262"/>
      <c r="F34" s="262"/>
      <c r="G34" s="263"/>
    </row>
    <row r="35" spans="1:7" ht="12.75">
      <c r="A35" s="3" t="s">
        <v>68</v>
      </c>
      <c r="B35" s="92">
        <f aca="true" t="shared" si="3" ref="B35:G35">0.0837*$B$8/(2496*B19)</f>
        <v>0.5588942307692307</v>
      </c>
      <c r="C35" s="93">
        <f t="shared" si="3"/>
        <v>0.6986177884615384</v>
      </c>
      <c r="D35" s="93">
        <f t="shared" si="3"/>
        <v>0.18629807692307693</v>
      </c>
      <c r="E35" s="93">
        <f t="shared" si="3"/>
        <v>0.2395260989010989</v>
      </c>
      <c r="F35" s="93">
        <f t="shared" si="3"/>
        <v>0.4657451923076923</v>
      </c>
      <c r="G35" s="94">
        <f t="shared" si="3"/>
        <v>1.0479266826923077</v>
      </c>
    </row>
    <row r="36" spans="1:7" ht="12.75">
      <c r="A36" s="3" t="s">
        <v>40</v>
      </c>
      <c r="B36" s="98">
        <f aca="true" t="shared" si="4" ref="B36:G36">0.0837*$B$9/(2496*B20)</f>
        <v>0.27944711538461536</v>
      </c>
      <c r="C36" s="99">
        <f t="shared" si="4"/>
        <v>0.33533653846153844</v>
      </c>
      <c r="D36" s="99">
        <f t="shared" si="4"/>
        <v>0.11177884615384616</v>
      </c>
      <c r="E36" s="99">
        <f t="shared" si="4"/>
        <v>0.14371565934065933</v>
      </c>
      <c r="F36" s="99">
        <f t="shared" si="4"/>
        <v>0.27944711538461536</v>
      </c>
      <c r="G36" s="100">
        <f t="shared" si="4"/>
        <v>0.6287560096153846</v>
      </c>
    </row>
    <row r="37" spans="1:7" ht="13.5" thickBot="1">
      <c r="A37" s="3" t="s">
        <v>47</v>
      </c>
      <c r="B37" s="95">
        <f aca="true" t="shared" si="5" ref="B37:G37">0.0837*$B$10/(2496*B21)</f>
        <v>0.02794471153846154</v>
      </c>
      <c r="C37" s="96">
        <f t="shared" si="5"/>
        <v>0.033533653846153845</v>
      </c>
      <c r="D37" s="96">
        <f t="shared" si="5"/>
        <v>0.01524256993006993</v>
      </c>
      <c r="E37" s="96">
        <f t="shared" si="5"/>
        <v>0.018629807692307692</v>
      </c>
      <c r="F37" s="96">
        <f t="shared" si="5"/>
        <v>0.02794471153846154</v>
      </c>
      <c r="G37" s="97">
        <f t="shared" si="5"/>
        <v>0.033533653846153845</v>
      </c>
    </row>
    <row r="39" ht="12.75">
      <c r="A39" s="73" t="s">
        <v>69</v>
      </c>
    </row>
    <row r="45" ht="12.75">
      <c r="H45" s="73"/>
    </row>
  </sheetData>
  <sheetProtection sheet="1" selectLockedCells="1"/>
  <mergeCells count="5">
    <mergeCell ref="B34:G34"/>
    <mergeCell ref="B22:G22"/>
    <mergeCell ref="B18:G18"/>
    <mergeCell ref="B26:G26"/>
    <mergeCell ref="B30:G30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>
    <pageSetUpPr fitToPage="1"/>
  </sheetPr>
  <dimension ref="A1:F31"/>
  <sheetViews>
    <sheetView zoomScale="85" zoomScaleNormal="85" zoomScalePageLayoutView="0" workbookViewId="0" topLeftCell="A1">
      <selection activeCell="C9" sqref="C9"/>
    </sheetView>
  </sheetViews>
  <sheetFormatPr defaultColWidth="9.140625" defaultRowHeight="15"/>
  <cols>
    <col min="1" max="1" width="17.140625" style="15" customWidth="1"/>
    <col min="2" max="2" width="18.7109375" style="15" customWidth="1"/>
    <col min="3" max="5" width="13.7109375" style="15" customWidth="1"/>
    <col min="6" max="6" width="10.00390625" style="17" customWidth="1"/>
    <col min="7" max="16384" width="9.140625" style="15" customWidth="1"/>
  </cols>
  <sheetData>
    <row r="1" spans="1:6" ht="24">
      <c r="A1" s="16" t="s">
        <v>6</v>
      </c>
      <c r="B1" s="16"/>
      <c r="C1" s="16"/>
      <c r="D1" s="12"/>
      <c r="E1" s="13"/>
      <c r="F1" s="14"/>
    </row>
    <row r="2" ht="6.75" customHeight="1"/>
    <row r="3" spans="1:4" ht="18" customHeight="1">
      <c r="A3" s="20" t="s">
        <v>65</v>
      </c>
      <c r="B3" s="116" t="s">
        <v>7</v>
      </c>
      <c r="D3" s="21"/>
    </row>
    <row r="4" spans="1:4" ht="18" customHeight="1">
      <c r="A4" s="20"/>
      <c r="B4" s="119"/>
      <c r="D4" s="21"/>
    </row>
    <row r="5" spans="1:4" ht="18" customHeight="1" thickBot="1">
      <c r="A5" s="111" t="s">
        <v>43</v>
      </c>
      <c r="B5" s="22" t="s">
        <v>44</v>
      </c>
      <c r="C5" s="18"/>
      <c r="D5" s="19"/>
    </row>
    <row r="6" spans="1:6" ht="18" customHeight="1">
      <c r="A6" s="23"/>
      <c r="B6" s="24" t="s">
        <v>8</v>
      </c>
      <c r="C6" s="25" t="s">
        <v>9</v>
      </c>
      <c r="D6" s="25" t="s">
        <v>10</v>
      </c>
      <c r="E6" s="25" t="s">
        <v>11</v>
      </c>
      <c r="F6" s="26" t="s">
        <v>12</v>
      </c>
    </row>
    <row r="7" spans="1:6" ht="18" customHeight="1">
      <c r="A7" s="27"/>
      <c r="B7" s="28" t="s">
        <v>13</v>
      </c>
      <c r="C7" s="29" t="s">
        <v>14</v>
      </c>
      <c r="D7" s="29" t="s">
        <v>15</v>
      </c>
      <c r="E7" s="29" t="s">
        <v>15</v>
      </c>
      <c r="F7" s="30"/>
    </row>
    <row r="8" spans="1:6" ht="18" customHeight="1">
      <c r="A8" s="31"/>
      <c r="B8" s="32" t="s">
        <v>16</v>
      </c>
      <c r="C8" s="33" t="s">
        <v>3</v>
      </c>
      <c r="D8" s="33" t="s">
        <v>3</v>
      </c>
      <c r="E8" s="33" t="s">
        <v>17</v>
      </c>
      <c r="F8" s="34"/>
    </row>
    <row r="9" spans="1:6" ht="18" customHeight="1">
      <c r="A9" s="35"/>
      <c r="B9" s="36" t="s">
        <v>19</v>
      </c>
      <c r="C9" s="118">
        <v>0</v>
      </c>
      <c r="D9" s="118">
        <v>0</v>
      </c>
      <c r="E9" s="118">
        <v>0</v>
      </c>
      <c r="F9" s="37">
        <f>SUM(C9:E9)</f>
        <v>0</v>
      </c>
    </row>
    <row r="10" spans="1:6" ht="18" customHeight="1">
      <c r="A10" s="35"/>
      <c r="B10" s="115" t="s">
        <v>66</v>
      </c>
      <c r="C10" s="40">
        <f>C9*1.2</f>
        <v>0</v>
      </c>
      <c r="D10" s="40">
        <f>D9*1.2</f>
        <v>0</v>
      </c>
      <c r="E10" s="40">
        <f>E9*1.2</f>
        <v>0</v>
      </c>
      <c r="F10" s="37"/>
    </row>
    <row r="11" spans="1:6" ht="18" customHeight="1">
      <c r="A11" s="35"/>
      <c r="B11" s="36" t="s">
        <v>18</v>
      </c>
      <c r="C11" s="38">
        <f>units!B19</f>
        <v>15</v>
      </c>
      <c r="D11" s="38">
        <f>units!D19</f>
        <v>45</v>
      </c>
      <c r="E11" s="38">
        <f>units!E19</f>
        <v>35</v>
      </c>
      <c r="F11" s="37"/>
    </row>
    <row r="12" spans="1:6" s="42" customFormat="1" ht="23.25" customHeight="1">
      <c r="A12" s="39"/>
      <c r="B12" s="80" t="s">
        <v>72</v>
      </c>
      <c r="C12" s="40">
        <f>IF(C10=0,0,(C10/C11)*60)</f>
        <v>0</v>
      </c>
      <c r="D12" s="40">
        <f>IF(D10=0,0,(D10/D11)*60)</f>
        <v>0</v>
      </c>
      <c r="E12" s="40">
        <f>IF(E10=0,0,(E10/E11)*60)</f>
        <v>0</v>
      </c>
      <c r="F12" s="41">
        <f>SUM(C12:E12)+$B$4*units!$J$8</f>
        <v>0</v>
      </c>
    </row>
    <row r="13" spans="1:6" s="42" customFormat="1" ht="23.25" customHeight="1">
      <c r="A13" s="43"/>
      <c r="B13" s="44" t="s">
        <v>20</v>
      </c>
      <c r="C13" s="45">
        <f>units!B23</f>
        <v>0.4587</v>
      </c>
      <c r="D13" s="45">
        <f>units!D23</f>
        <v>0.3812</v>
      </c>
      <c r="E13" s="45">
        <f>units!E23</f>
        <v>0.6081</v>
      </c>
      <c r="F13" s="46"/>
    </row>
    <row r="14" spans="1:6" s="42" customFormat="1" ht="23.25" customHeight="1">
      <c r="A14" s="47"/>
      <c r="B14" s="81" t="s">
        <v>73</v>
      </c>
      <c r="C14" s="48">
        <f>C10*C13</f>
        <v>0</v>
      </c>
      <c r="D14" s="48">
        <f>D10*D13</f>
        <v>0</v>
      </c>
      <c r="E14" s="48">
        <f>E10*E13</f>
        <v>0</v>
      </c>
      <c r="F14" s="49">
        <f>SUM(C14:E14)</f>
        <v>0</v>
      </c>
    </row>
    <row r="15" spans="1:6" s="42" customFormat="1" ht="23.25" customHeight="1">
      <c r="A15" s="47"/>
      <c r="B15" s="50" t="s">
        <v>22</v>
      </c>
      <c r="C15" s="51"/>
      <c r="D15" s="52"/>
      <c r="E15" s="53"/>
      <c r="F15" s="49">
        <f>units!B4</f>
        <v>1.51</v>
      </c>
    </row>
    <row r="16" spans="1:6" s="42" customFormat="1" ht="23.25" customHeight="1">
      <c r="A16" s="54"/>
      <c r="B16" s="55" t="s">
        <v>23</v>
      </c>
      <c r="C16" s="56"/>
      <c r="D16" s="57"/>
      <c r="E16" s="56"/>
      <c r="F16" s="41">
        <f>F14*F15</f>
        <v>0</v>
      </c>
    </row>
    <row r="17" spans="1:6" s="42" customFormat="1" ht="23.25" customHeight="1">
      <c r="A17" s="43"/>
      <c r="B17" s="44" t="s">
        <v>24</v>
      </c>
      <c r="C17" s="58">
        <f>units!B31</f>
        <v>0.043614999999999994</v>
      </c>
      <c r="D17" s="58">
        <f>units!D31</f>
        <v>0.047354999999999994</v>
      </c>
      <c r="E17" s="58">
        <f>units!E31</f>
        <v>0.11869</v>
      </c>
      <c r="F17" s="46"/>
    </row>
    <row r="18" spans="1:6" s="42" customFormat="1" ht="23.25" customHeight="1">
      <c r="A18" s="54"/>
      <c r="B18" s="55" t="s">
        <v>25</v>
      </c>
      <c r="C18" s="48">
        <f>C10*C17</f>
        <v>0</v>
      </c>
      <c r="D18" s="48">
        <f>D10*D17</f>
        <v>0</v>
      </c>
      <c r="E18" s="48">
        <f>E10*E17</f>
        <v>0</v>
      </c>
      <c r="F18" s="41">
        <f>SUM(C18:E18)</f>
        <v>0</v>
      </c>
    </row>
    <row r="19" spans="1:6" s="42" customFormat="1" ht="23.25" customHeight="1">
      <c r="A19" s="43"/>
      <c r="B19" s="44" t="s">
        <v>26</v>
      </c>
      <c r="C19" s="59">
        <f>units!B35</f>
        <v>0.5588942307692307</v>
      </c>
      <c r="D19" s="59">
        <f>units!D35</f>
        <v>0.18629807692307693</v>
      </c>
      <c r="E19" s="59">
        <f>units!E35</f>
        <v>0.2395260989010989</v>
      </c>
      <c r="F19" s="46"/>
    </row>
    <row r="20" spans="1:6" s="42" customFormat="1" ht="23.25" customHeight="1">
      <c r="A20" s="54"/>
      <c r="B20" s="55" t="s">
        <v>27</v>
      </c>
      <c r="C20" s="48">
        <f>C10*C19</f>
        <v>0</v>
      </c>
      <c r="D20" s="48">
        <f>D10*D19</f>
        <v>0</v>
      </c>
      <c r="E20" s="48">
        <f>E10*E19</f>
        <v>0</v>
      </c>
      <c r="F20" s="41">
        <f>SUM(C20:E20)</f>
        <v>0</v>
      </c>
    </row>
    <row r="21" spans="1:6" s="42" customFormat="1" ht="23.25" customHeight="1">
      <c r="A21" s="39"/>
      <c r="B21" s="60" t="s">
        <v>28</v>
      </c>
      <c r="C21" s="61"/>
      <c r="D21" s="62"/>
      <c r="E21" s="60" t="s">
        <v>29</v>
      </c>
      <c r="F21" s="63">
        <f>F16+F18+F20</f>
        <v>0</v>
      </c>
    </row>
    <row r="22" spans="1:6" s="42" customFormat="1" ht="23.25" customHeight="1">
      <c r="A22" s="43"/>
      <c r="B22" s="44" t="s">
        <v>30</v>
      </c>
      <c r="C22" s="64"/>
      <c r="D22" s="64"/>
      <c r="E22" s="64"/>
      <c r="F22" s="107">
        <f>units!F8</f>
        <v>8.09561965811966</v>
      </c>
    </row>
    <row r="23" spans="1:6" s="42" customFormat="1" ht="23.25" customHeight="1">
      <c r="A23" s="54"/>
      <c r="B23" s="55" t="s">
        <v>31</v>
      </c>
      <c r="C23" s="57"/>
      <c r="D23" s="57"/>
      <c r="E23" s="57"/>
      <c r="F23" s="41">
        <f>F22*F12/60</f>
        <v>0</v>
      </c>
    </row>
    <row r="24" spans="1:6" s="42" customFormat="1" ht="23.25" customHeight="1">
      <c r="A24" s="43"/>
      <c r="B24" s="44" t="s">
        <v>32</v>
      </c>
      <c r="C24" s="64"/>
      <c r="D24" s="64"/>
      <c r="E24" s="64"/>
      <c r="F24" s="110">
        <f>units!H8</f>
        <v>15.151515151515152</v>
      </c>
    </row>
    <row r="25" spans="1:6" s="42" customFormat="1" ht="23.25" customHeight="1">
      <c r="A25" s="54"/>
      <c r="B25" s="55" t="s">
        <v>33</v>
      </c>
      <c r="C25" s="57"/>
      <c r="D25" s="57"/>
      <c r="E25" s="57"/>
      <c r="F25" s="41">
        <f>F24*F12/60</f>
        <v>0</v>
      </c>
    </row>
    <row r="26" spans="1:6" s="42" customFormat="1" ht="32.25" customHeight="1">
      <c r="A26" s="39"/>
      <c r="B26" s="65" t="s">
        <v>34</v>
      </c>
      <c r="C26" s="62"/>
      <c r="D26" s="62"/>
      <c r="E26" s="60" t="s">
        <v>35</v>
      </c>
      <c r="F26" s="63">
        <f>0.25*(F21+F23+F25)</f>
        <v>0</v>
      </c>
    </row>
    <row r="27" spans="1:6" s="42" customFormat="1" ht="32.25" customHeight="1">
      <c r="A27" s="39"/>
      <c r="B27" s="65" t="s">
        <v>36</v>
      </c>
      <c r="C27" s="62"/>
      <c r="D27" s="62"/>
      <c r="E27" s="60" t="s">
        <v>37</v>
      </c>
      <c r="F27" s="63">
        <f>0.15*(F21+F23+F25+F26)</f>
        <v>0</v>
      </c>
    </row>
    <row r="28" spans="1:6" s="42" customFormat="1" ht="32.25" customHeight="1" thickBot="1">
      <c r="A28" s="66"/>
      <c r="B28" s="67"/>
      <c r="C28" s="67" t="s">
        <v>38</v>
      </c>
      <c r="D28" s="68"/>
      <c r="E28" s="69" t="s">
        <v>39</v>
      </c>
      <c r="F28" s="70">
        <f>F21+F23+F25+F26+F27</f>
        <v>0</v>
      </c>
    </row>
    <row r="29" ht="18" customHeight="1"/>
    <row r="30" ht="18" customHeight="1">
      <c r="E30" s="71"/>
    </row>
    <row r="31" ht="18" customHeight="1">
      <c r="A31" s="82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 sheet="1"/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>
    <pageSetUpPr fitToPage="1"/>
  </sheetPr>
  <dimension ref="A1:F31"/>
  <sheetViews>
    <sheetView zoomScale="85" zoomScaleNormal="85" zoomScalePageLayoutView="0" workbookViewId="0" topLeftCell="A1">
      <selection activeCell="C9" sqref="C9"/>
    </sheetView>
  </sheetViews>
  <sheetFormatPr defaultColWidth="9.140625" defaultRowHeight="15"/>
  <cols>
    <col min="1" max="1" width="17.140625" style="15" customWidth="1"/>
    <col min="2" max="2" width="18.7109375" style="15" customWidth="1"/>
    <col min="3" max="5" width="13.7109375" style="15" customWidth="1"/>
    <col min="6" max="6" width="10.00390625" style="17" customWidth="1"/>
    <col min="7" max="16384" width="9.140625" style="15" customWidth="1"/>
  </cols>
  <sheetData>
    <row r="1" spans="1:6" ht="24">
      <c r="A1" s="16" t="s">
        <v>6</v>
      </c>
      <c r="B1" s="16"/>
      <c r="C1" s="16"/>
      <c r="D1" s="12"/>
      <c r="E1" s="13"/>
      <c r="F1" s="14"/>
    </row>
    <row r="2" ht="6.75" customHeight="1"/>
    <row r="3" spans="1:4" ht="18" customHeight="1">
      <c r="A3" s="20" t="s">
        <v>65</v>
      </c>
      <c r="B3" s="116" t="s">
        <v>7</v>
      </c>
      <c r="D3" s="21"/>
    </row>
    <row r="4" spans="1:4" ht="18" customHeight="1">
      <c r="A4" s="120"/>
      <c r="B4" s="119"/>
      <c r="D4" s="21"/>
    </row>
    <row r="5" spans="1:4" ht="18" customHeight="1" thickBot="1">
      <c r="A5" s="111" t="s">
        <v>43</v>
      </c>
      <c r="B5" s="122" t="s">
        <v>45</v>
      </c>
      <c r="C5" s="18"/>
      <c r="D5" s="19"/>
    </row>
    <row r="6" spans="1:6" ht="18" customHeight="1">
      <c r="A6" s="23"/>
      <c r="B6" s="24" t="s">
        <v>8</v>
      </c>
      <c r="C6" s="25" t="s">
        <v>9</v>
      </c>
      <c r="D6" s="25" t="s">
        <v>10</v>
      </c>
      <c r="E6" s="25" t="s">
        <v>11</v>
      </c>
      <c r="F6" s="26" t="s">
        <v>12</v>
      </c>
    </row>
    <row r="7" spans="1:6" ht="18" customHeight="1">
      <c r="A7" s="27"/>
      <c r="B7" s="28" t="s">
        <v>13</v>
      </c>
      <c r="C7" s="29" t="s">
        <v>14</v>
      </c>
      <c r="D7" s="29" t="s">
        <v>15</v>
      </c>
      <c r="E7" s="29" t="s">
        <v>15</v>
      </c>
      <c r="F7" s="30"/>
    </row>
    <row r="8" spans="1:6" ht="18" customHeight="1">
      <c r="A8" s="31"/>
      <c r="B8" s="32" t="s">
        <v>16</v>
      </c>
      <c r="C8" s="33" t="s">
        <v>3</v>
      </c>
      <c r="D8" s="33" t="s">
        <v>3</v>
      </c>
      <c r="E8" s="33" t="s">
        <v>17</v>
      </c>
      <c r="F8" s="34"/>
    </row>
    <row r="9" spans="1:6" ht="18" customHeight="1">
      <c r="A9" s="35"/>
      <c r="B9" s="36" t="s">
        <v>19</v>
      </c>
      <c r="C9" s="118">
        <v>0</v>
      </c>
      <c r="D9" s="118">
        <v>0</v>
      </c>
      <c r="E9" s="118">
        <v>0</v>
      </c>
      <c r="F9" s="37">
        <f>SUM(C9:E9)</f>
        <v>0</v>
      </c>
    </row>
    <row r="10" spans="1:6" ht="18" customHeight="1">
      <c r="A10" s="35"/>
      <c r="B10" s="115" t="s">
        <v>66</v>
      </c>
      <c r="C10" s="40">
        <f>C9*1.2</f>
        <v>0</v>
      </c>
      <c r="D10" s="40">
        <f>D9*1.2</f>
        <v>0</v>
      </c>
      <c r="E10" s="40">
        <f>E9*1.2</f>
        <v>0</v>
      </c>
      <c r="F10" s="37"/>
    </row>
    <row r="11" spans="1:6" ht="18" customHeight="1">
      <c r="A11" s="35"/>
      <c r="B11" s="36" t="s">
        <v>18</v>
      </c>
      <c r="C11" s="38">
        <f>units!B20</f>
        <v>18</v>
      </c>
      <c r="D11" s="38">
        <f>units!D20</f>
        <v>45</v>
      </c>
      <c r="E11" s="38">
        <f>units!E20</f>
        <v>35</v>
      </c>
      <c r="F11" s="37"/>
    </row>
    <row r="12" spans="1:6" s="42" customFormat="1" ht="23.25" customHeight="1">
      <c r="A12" s="39"/>
      <c r="B12" s="80" t="s">
        <v>72</v>
      </c>
      <c r="C12" s="40">
        <f>IF(C10=0,0,(C10/C11)*60)</f>
        <v>0</v>
      </c>
      <c r="D12" s="40">
        <f>IF(D10=0,0,(D10/D11)*60)</f>
        <v>0</v>
      </c>
      <c r="E12" s="40">
        <f>IF(E10=0,0,(E10/E11)*60)</f>
        <v>0</v>
      </c>
      <c r="F12" s="41">
        <f>SUM(C12:E12)+$B$4*units!$J$9</f>
        <v>0</v>
      </c>
    </row>
    <row r="13" spans="1:6" s="42" customFormat="1" ht="23.25" customHeight="1">
      <c r="A13" s="43"/>
      <c r="B13" s="44" t="s">
        <v>20</v>
      </c>
      <c r="C13" s="45">
        <f>units!B24</f>
        <v>0.2029</v>
      </c>
      <c r="D13" s="45">
        <f>units!D24</f>
        <v>0.1862</v>
      </c>
      <c r="E13" s="45">
        <f>units!E24</f>
        <v>0.1993</v>
      </c>
      <c r="F13" s="46"/>
    </row>
    <row r="14" spans="1:6" s="42" customFormat="1" ht="23.25" customHeight="1">
      <c r="A14" s="47"/>
      <c r="B14" s="81" t="s">
        <v>73</v>
      </c>
      <c r="C14" s="48">
        <f>C10*C13</f>
        <v>0</v>
      </c>
      <c r="D14" s="48">
        <f>D10*D13</f>
        <v>0</v>
      </c>
      <c r="E14" s="48">
        <f>E10*E13</f>
        <v>0</v>
      </c>
      <c r="F14" s="49">
        <f>SUM(C14:E14)</f>
        <v>0</v>
      </c>
    </row>
    <row r="15" spans="1:6" s="42" customFormat="1" ht="23.25" customHeight="1">
      <c r="A15" s="47"/>
      <c r="B15" s="50" t="s">
        <v>22</v>
      </c>
      <c r="C15" s="51"/>
      <c r="D15" s="52"/>
      <c r="E15" s="53"/>
      <c r="F15" s="49">
        <f>units!B4</f>
        <v>1.51</v>
      </c>
    </row>
    <row r="16" spans="1:6" s="42" customFormat="1" ht="23.25" customHeight="1">
      <c r="A16" s="54"/>
      <c r="B16" s="55" t="s">
        <v>23</v>
      </c>
      <c r="C16" s="56"/>
      <c r="D16" s="57"/>
      <c r="E16" s="56"/>
      <c r="F16" s="41">
        <f>F14*F15</f>
        <v>0</v>
      </c>
    </row>
    <row r="17" spans="1:6" s="42" customFormat="1" ht="23.25" customHeight="1">
      <c r="A17" s="43"/>
      <c r="B17" s="44" t="s">
        <v>24</v>
      </c>
      <c r="C17" s="58">
        <f>units!B32</f>
        <v>0.043614999999999994</v>
      </c>
      <c r="D17" s="58">
        <f>units!D32</f>
        <v>0.047354999999999994</v>
      </c>
      <c r="E17" s="58">
        <f>units!E32</f>
        <v>0.11869</v>
      </c>
      <c r="F17" s="46"/>
    </row>
    <row r="18" spans="1:6" s="42" customFormat="1" ht="23.25" customHeight="1">
      <c r="A18" s="54"/>
      <c r="B18" s="55" t="s">
        <v>25</v>
      </c>
      <c r="C18" s="48">
        <f>C10*C17</f>
        <v>0</v>
      </c>
      <c r="D18" s="48">
        <f>D10*D17</f>
        <v>0</v>
      </c>
      <c r="E18" s="48">
        <f>E10*E17</f>
        <v>0</v>
      </c>
      <c r="F18" s="41">
        <f>SUM(C18:E18)</f>
        <v>0</v>
      </c>
    </row>
    <row r="19" spans="1:6" s="42" customFormat="1" ht="23.25" customHeight="1">
      <c r="A19" s="43"/>
      <c r="B19" s="44" t="s">
        <v>26</v>
      </c>
      <c r="C19" s="59">
        <f>units!B36</f>
        <v>0.27944711538461536</v>
      </c>
      <c r="D19" s="59">
        <f>units!D36</f>
        <v>0.11177884615384616</v>
      </c>
      <c r="E19" s="59">
        <f>units!E36</f>
        <v>0.14371565934065933</v>
      </c>
      <c r="F19" s="46"/>
    </row>
    <row r="20" spans="1:6" s="42" customFormat="1" ht="23.25" customHeight="1">
      <c r="A20" s="54"/>
      <c r="B20" s="55" t="s">
        <v>27</v>
      </c>
      <c r="C20" s="48">
        <f>C10*C19</f>
        <v>0</v>
      </c>
      <c r="D20" s="48">
        <f>D10*D19</f>
        <v>0</v>
      </c>
      <c r="E20" s="48">
        <f>E10*E19</f>
        <v>0</v>
      </c>
      <c r="F20" s="41">
        <f>SUM(C20:E20)</f>
        <v>0</v>
      </c>
    </row>
    <row r="21" spans="1:6" s="42" customFormat="1" ht="23.25" customHeight="1">
      <c r="A21" s="39"/>
      <c r="B21" s="60" t="s">
        <v>28</v>
      </c>
      <c r="C21" s="61"/>
      <c r="D21" s="62"/>
      <c r="E21" s="60" t="s">
        <v>29</v>
      </c>
      <c r="F21" s="63">
        <f>F16+F18+F20</f>
        <v>0</v>
      </c>
    </row>
    <row r="22" spans="1:6" s="42" customFormat="1" ht="23.25" customHeight="1">
      <c r="A22" s="43"/>
      <c r="B22" s="44" t="s">
        <v>30</v>
      </c>
      <c r="C22" s="64"/>
      <c r="D22" s="64"/>
      <c r="E22" s="64"/>
      <c r="F22" s="107">
        <f>units!F9</f>
        <v>5.364583333333333</v>
      </c>
    </row>
    <row r="23" spans="1:6" s="42" customFormat="1" ht="23.25" customHeight="1">
      <c r="A23" s="54"/>
      <c r="B23" s="55" t="s">
        <v>31</v>
      </c>
      <c r="C23" s="57"/>
      <c r="D23" s="57"/>
      <c r="E23" s="57"/>
      <c r="F23" s="41">
        <f>F22*F12/60</f>
        <v>0</v>
      </c>
    </row>
    <row r="24" spans="1:6" s="42" customFormat="1" ht="23.25" customHeight="1">
      <c r="A24" s="43"/>
      <c r="B24" s="44" t="s">
        <v>32</v>
      </c>
      <c r="C24" s="64"/>
      <c r="D24" s="64"/>
      <c r="E24" s="64"/>
      <c r="F24" s="110">
        <f>units!H9</f>
        <v>15.151515151515152</v>
      </c>
    </row>
    <row r="25" spans="1:6" s="42" customFormat="1" ht="23.25" customHeight="1">
      <c r="A25" s="54"/>
      <c r="B25" s="55" t="s">
        <v>33</v>
      </c>
      <c r="C25" s="57"/>
      <c r="D25" s="57"/>
      <c r="E25" s="57"/>
      <c r="F25" s="41">
        <f>F24*F12/60</f>
        <v>0</v>
      </c>
    </row>
    <row r="26" spans="1:6" s="42" customFormat="1" ht="32.25" customHeight="1">
      <c r="A26" s="39"/>
      <c r="B26" s="65" t="s">
        <v>34</v>
      </c>
      <c r="C26" s="62"/>
      <c r="D26" s="62"/>
      <c r="E26" s="60" t="s">
        <v>35</v>
      </c>
      <c r="F26" s="63">
        <f>0.25*(F21+F23+F25)</f>
        <v>0</v>
      </c>
    </row>
    <row r="27" spans="1:6" s="42" customFormat="1" ht="32.25" customHeight="1">
      <c r="A27" s="39"/>
      <c r="B27" s="65" t="s">
        <v>36</v>
      </c>
      <c r="C27" s="62"/>
      <c r="D27" s="62"/>
      <c r="E27" s="60" t="s">
        <v>37</v>
      </c>
      <c r="F27" s="63">
        <f>0.15*(F21+F23+F25+F26)</f>
        <v>0</v>
      </c>
    </row>
    <row r="28" spans="1:6" s="42" customFormat="1" ht="32.25" customHeight="1" thickBot="1">
      <c r="A28" s="66"/>
      <c r="B28" s="67"/>
      <c r="C28" s="67" t="s">
        <v>38</v>
      </c>
      <c r="D28" s="68"/>
      <c r="E28" s="69" t="s">
        <v>39</v>
      </c>
      <c r="F28" s="70">
        <f>F21+F23+F25+F26+F27</f>
        <v>0</v>
      </c>
    </row>
    <row r="29" ht="18" customHeight="1"/>
    <row r="30" ht="18" customHeight="1">
      <c r="E30" s="71"/>
    </row>
    <row r="31" ht="18" customHeight="1">
      <c r="A31" s="82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4">
    <pageSetUpPr fitToPage="1"/>
  </sheetPr>
  <dimension ref="A1:F31"/>
  <sheetViews>
    <sheetView zoomScale="85" zoomScaleNormal="85" zoomScaleSheetLayoutView="85" zoomScalePageLayoutView="0" workbookViewId="0" topLeftCell="A1">
      <selection activeCell="L15" sqref="L15"/>
    </sheetView>
  </sheetViews>
  <sheetFormatPr defaultColWidth="9.140625" defaultRowHeight="15"/>
  <cols>
    <col min="1" max="1" width="17.140625" style="15" customWidth="1"/>
    <col min="2" max="2" width="18.7109375" style="15" customWidth="1"/>
    <col min="3" max="5" width="13.7109375" style="15" customWidth="1"/>
    <col min="6" max="6" width="10.00390625" style="17" customWidth="1"/>
  </cols>
  <sheetData>
    <row r="1" spans="1:6" ht="24">
      <c r="A1" s="16" t="s">
        <v>6</v>
      </c>
      <c r="B1" s="16"/>
      <c r="C1" s="16"/>
      <c r="D1" s="12"/>
      <c r="E1" s="13"/>
      <c r="F1" s="14"/>
    </row>
    <row r="2" ht="6.75" customHeight="1"/>
    <row r="3" spans="1:4" ht="18" customHeight="1">
      <c r="A3" s="20" t="s">
        <v>65</v>
      </c>
      <c r="B3" s="116" t="s">
        <v>7</v>
      </c>
      <c r="D3" s="21"/>
    </row>
    <row r="4" spans="1:4" ht="18" customHeight="1">
      <c r="A4" s="120"/>
      <c r="B4" s="119"/>
      <c r="D4" s="21"/>
    </row>
    <row r="5" spans="1:4" ht="18" customHeight="1" thickBot="1">
      <c r="A5" s="111" t="s">
        <v>43</v>
      </c>
      <c r="B5" s="123" t="s">
        <v>64</v>
      </c>
      <c r="C5" s="18"/>
      <c r="D5" s="19"/>
    </row>
    <row r="6" spans="1:6" ht="18" customHeight="1">
      <c r="A6" s="23"/>
      <c r="B6" s="24" t="s">
        <v>8</v>
      </c>
      <c r="C6" s="25" t="s">
        <v>9</v>
      </c>
      <c r="D6" s="25" t="s">
        <v>10</v>
      </c>
      <c r="E6" s="25" t="s">
        <v>11</v>
      </c>
      <c r="F6" s="26" t="s">
        <v>12</v>
      </c>
    </row>
    <row r="7" spans="1:6" ht="18" customHeight="1">
      <c r="A7" s="27"/>
      <c r="B7" s="28" t="s">
        <v>13</v>
      </c>
      <c r="C7" s="29" t="s">
        <v>14</v>
      </c>
      <c r="D7" s="29" t="s">
        <v>15</v>
      </c>
      <c r="E7" s="29" t="s">
        <v>15</v>
      </c>
      <c r="F7" s="30"/>
    </row>
    <row r="8" spans="1:6" ht="18" customHeight="1">
      <c r="A8" s="31"/>
      <c r="B8" s="32" t="s">
        <v>16</v>
      </c>
      <c r="C8" s="33" t="s">
        <v>3</v>
      </c>
      <c r="D8" s="33" t="s">
        <v>3</v>
      </c>
      <c r="E8" s="33" t="s">
        <v>17</v>
      </c>
      <c r="F8" s="34"/>
    </row>
    <row r="9" spans="1:6" ht="18" customHeight="1">
      <c r="A9" s="35"/>
      <c r="B9" s="36" t="s">
        <v>19</v>
      </c>
      <c r="C9" s="118">
        <v>0</v>
      </c>
      <c r="D9" s="118">
        <v>0</v>
      </c>
      <c r="E9" s="118">
        <v>0</v>
      </c>
      <c r="F9" s="37">
        <f>SUM(C9:E9)</f>
        <v>0</v>
      </c>
    </row>
    <row r="10" spans="1:6" s="15" customFormat="1" ht="18" customHeight="1">
      <c r="A10" s="35"/>
      <c r="B10" s="115" t="s">
        <v>66</v>
      </c>
      <c r="C10" s="40">
        <f>C9*1.2</f>
        <v>0</v>
      </c>
      <c r="D10" s="40">
        <f>D9*1.5</f>
        <v>0</v>
      </c>
      <c r="E10" s="40">
        <f>E9*1.5</f>
        <v>0</v>
      </c>
      <c r="F10" s="37"/>
    </row>
    <row r="11" spans="1:6" ht="18" customHeight="1">
      <c r="A11" s="35"/>
      <c r="B11" s="36" t="s">
        <v>18</v>
      </c>
      <c r="C11" s="38">
        <f>units!B21</f>
        <v>30</v>
      </c>
      <c r="D11" s="38">
        <f>units!D21</f>
        <v>55</v>
      </c>
      <c r="E11" s="38">
        <f>units!E21</f>
        <v>45</v>
      </c>
      <c r="F11" s="37"/>
    </row>
    <row r="12" spans="1:6" s="1" customFormat="1" ht="23.25" customHeight="1">
      <c r="A12" s="39"/>
      <c r="B12" s="80" t="s">
        <v>72</v>
      </c>
      <c r="C12" s="40">
        <f>IF(C10=0,0,(C10/C11)*60)</f>
        <v>0</v>
      </c>
      <c r="D12" s="40">
        <f>IF(D10=0,0,(D10/D11)*60)</f>
        <v>0</v>
      </c>
      <c r="E12" s="40">
        <f>IF(E10=0,0,(E10/E11)*60)</f>
        <v>0</v>
      </c>
      <c r="F12" s="41">
        <f>SUM(C12:E12)+$B$4*units!$J$10</f>
        <v>0</v>
      </c>
    </row>
    <row r="13" spans="1:6" s="1" customFormat="1" ht="23.25" customHeight="1">
      <c r="A13" s="43"/>
      <c r="B13" s="44" t="s">
        <v>20</v>
      </c>
      <c r="C13" s="45">
        <f>units!B25</f>
        <v>0.1178</v>
      </c>
      <c r="D13" s="45">
        <f>units!D25</f>
        <v>0.1081</v>
      </c>
      <c r="E13" s="45">
        <f>units!E25</f>
        <v>0.1157</v>
      </c>
      <c r="F13" s="46"/>
    </row>
    <row r="14" spans="1:6" s="1" customFormat="1" ht="23.25" customHeight="1">
      <c r="A14" s="47"/>
      <c r="B14" s="81" t="s">
        <v>73</v>
      </c>
      <c r="C14" s="48">
        <f>C10*C13</f>
        <v>0</v>
      </c>
      <c r="D14" s="48">
        <f>D10*D13</f>
        <v>0</v>
      </c>
      <c r="E14" s="48">
        <f>E10*E13</f>
        <v>0</v>
      </c>
      <c r="F14" s="49">
        <f>SUM(C14:E14)</f>
        <v>0</v>
      </c>
    </row>
    <row r="15" spans="1:6" s="1" customFormat="1" ht="23.25" customHeight="1">
      <c r="A15" s="47"/>
      <c r="B15" s="50" t="s">
        <v>22</v>
      </c>
      <c r="C15" s="51"/>
      <c r="D15" s="52"/>
      <c r="E15" s="53"/>
      <c r="F15" s="49">
        <f>units!B4</f>
        <v>1.51</v>
      </c>
    </row>
    <row r="16" spans="1:6" s="1" customFormat="1" ht="23.25" customHeight="1">
      <c r="A16" s="54"/>
      <c r="B16" s="55" t="s">
        <v>23</v>
      </c>
      <c r="C16" s="56"/>
      <c r="D16" s="57"/>
      <c r="E16" s="56"/>
      <c r="F16" s="41">
        <f>F14*F15</f>
        <v>0</v>
      </c>
    </row>
    <row r="17" spans="1:6" s="1" customFormat="1" ht="23.25" customHeight="1">
      <c r="A17" s="43"/>
      <c r="B17" s="44" t="s">
        <v>24</v>
      </c>
      <c r="C17" s="58">
        <f>units!B33</f>
        <v>0.01056</v>
      </c>
      <c r="D17" s="58">
        <f>units!D33</f>
        <v>0.01148</v>
      </c>
      <c r="E17" s="58">
        <f>units!E33</f>
        <v>0.02878</v>
      </c>
      <c r="F17" s="46"/>
    </row>
    <row r="18" spans="1:6" s="1" customFormat="1" ht="23.25" customHeight="1">
      <c r="A18" s="54"/>
      <c r="B18" s="55" t="s">
        <v>25</v>
      </c>
      <c r="C18" s="48">
        <f>C10*C17</f>
        <v>0</v>
      </c>
      <c r="D18" s="48">
        <f>D10*D17</f>
        <v>0</v>
      </c>
      <c r="E18" s="48">
        <f>E10*E17</f>
        <v>0</v>
      </c>
      <c r="F18" s="41">
        <f>SUM(C18:E18)</f>
        <v>0</v>
      </c>
    </row>
    <row r="19" spans="1:6" s="1" customFormat="1" ht="23.25" customHeight="1">
      <c r="A19" s="43"/>
      <c r="B19" s="44" t="s">
        <v>26</v>
      </c>
      <c r="C19" s="59">
        <f>units!B37</f>
        <v>0.02794471153846154</v>
      </c>
      <c r="D19" s="59">
        <f>units!D37</f>
        <v>0.01524256993006993</v>
      </c>
      <c r="E19" s="59">
        <f>units!E37</f>
        <v>0.018629807692307692</v>
      </c>
      <c r="F19" s="46"/>
    </row>
    <row r="20" spans="1:6" s="1" customFormat="1" ht="23.25" customHeight="1">
      <c r="A20" s="54"/>
      <c r="B20" s="55" t="s">
        <v>27</v>
      </c>
      <c r="C20" s="48">
        <f>C10*C19</f>
        <v>0</v>
      </c>
      <c r="D20" s="48">
        <f>D10*D19</f>
        <v>0</v>
      </c>
      <c r="E20" s="48">
        <f>E10*E19</f>
        <v>0</v>
      </c>
      <c r="F20" s="41">
        <f>SUM(C20:E20)</f>
        <v>0</v>
      </c>
    </row>
    <row r="21" spans="1:6" s="1" customFormat="1" ht="23.25" customHeight="1">
      <c r="A21" s="39"/>
      <c r="B21" s="60" t="s">
        <v>28</v>
      </c>
      <c r="C21" s="61"/>
      <c r="D21" s="62"/>
      <c r="E21" s="60" t="s">
        <v>29</v>
      </c>
      <c r="F21" s="63">
        <f>F16+F18+F20</f>
        <v>0</v>
      </c>
    </row>
    <row r="22" spans="1:6" s="1" customFormat="1" ht="23.25" customHeight="1">
      <c r="A22" s="43"/>
      <c r="B22" s="44" t="s">
        <v>30</v>
      </c>
      <c r="C22" s="64"/>
      <c r="D22" s="64"/>
      <c r="E22" s="64"/>
      <c r="F22" s="107">
        <f>units!F10</f>
        <v>1.2526709401709404</v>
      </c>
    </row>
    <row r="23" spans="1:6" s="1" customFormat="1" ht="23.25" customHeight="1">
      <c r="A23" s="54"/>
      <c r="B23" s="55" t="s">
        <v>31</v>
      </c>
      <c r="C23" s="57"/>
      <c r="D23" s="57"/>
      <c r="E23" s="57"/>
      <c r="F23" s="41">
        <f>F22*F12/60</f>
        <v>0</v>
      </c>
    </row>
    <row r="24" spans="1:6" s="1" customFormat="1" ht="23.25" customHeight="1">
      <c r="A24" s="43"/>
      <c r="B24" s="44" t="s">
        <v>32</v>
      </c>
      <c r="C24" s="64"/>
      <c r="D24" s="64"/>
      <c r="E24" s="64"/>
      <c r="F24" s="110">
        <f>units!H10</f>
        <v>12.626262626262626</v>
      </c>
    </row>
    <row r="25" spans="1:6" s="1" customFormat="1" ht="23.25" customHeight="1">
      <c r="A25" s="54"/>
      <c r="B25" s="55" t="s">
        <v>33</v>
      </c>
      <c r="C25" s="57"/>
      <c r="D25" s="57"/>
      <c r="E25" s="57"/>
      <c r="F25" s="41">
        <f>F24*F12/60</f>
        <v>0</v>
      </c>
    </row>
    <row r="26" spans="1:6" s="1" customFormat="1" ht="32.25" customHeight="1">
      <c r="A26" s="39"/>
      <c r="B26" s="65" t="s">
        <v>34</v>
      </c>
      <c r="C26" s="62"/>
      <c r="D26" s="62"/>
      <c r="E26" s="60" t="s">
        <v>35</v>
      </c>
      <c r="F26" s="63">
        <f>0.25*(F21+F23+F25)</f>
        <v>0</v>
      </c>
    </row>
    <row r="27" spans="1:6" s="1" customFormat="1" ht="32.25" customHeight="1">
      <c r="A27" s="39"/>
      <c r="B27" s="65" t="s">
        <v>36</v>
      </c>
      <c r="C27" s="62"/>
      <c r="D27" s="62"/>
      <c r="E27" s="60" t="s">
        <v>37</v>
      </c>
      <c r="F27" s="63">
        <f>0.15*(F21+F23+F25+F26)</f>
        <v>0</v>
      </c>
    </row>
    <row r="28" spans="1:6" s="1" customFormat="1" ht="32.25" customHeight="1" thickBot="1">
      <c r="A28" s="66"/>
      <c r="B28" s="67"/>
      <c r="C28" s="67" t="s">
        <v>38</v>
      </c>
      <c r="D28" s="68"/>
      <c r="E28" s="69" t="s">
        <v>39</v>
      </c>
      <c r="F28" s="70">
        <f>F21+F23+F25+F26+F27</f>
        <v>0</v>
      </c>
    </row>
    <row r="29" ht="18" customHeight="1"/>
    <row r="30" ht="18" customHeight="1">
      <c r="E30" s="71"/>
    </row>
    <row r="31" ht="18" customHeight="1">
      <c r="A31" s="82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5"/>
  <dimension ref="A1:AU160"/>
  <sheetViews>
    <sheetView tabSelected="1" zoomScale="62" zoomScaleNormal="62" zoomScalePageLayoutView="0" workbookViewId="0" topLeftCell="A1">
      <selection activeCell="AN9" sqref="AN9"/>
    </sheetView>
  </sheetViews>
  <sheetFormatPr defaultColWidth="9.00390625" defaultRowHeight="15"/>
  <cols>
    <col min="1" max="1" width="4.8515625" style="131" bestFit="1" customWidth="1"/>
    <col min="2" max="2" width="41.421875" style="131" customWidth="1"/>
    <col min="3" max="3" width="6.421875" style="131" bestFit="1" customWidth="1"/>
    <col min="4" max="4" width="33.28125" style="131" bestFit="1" customWidth="1"/>
    <col min="5" max="5" width="8.7109375" style="195" customWidth="1"/>
    <col min="6" max="6" width="8.57421875" style="131" customWidth="1"/>
    <col min="7" max="7" width="8.7109375" style="131" customWidth="1"/>
    <col min="8" max="8" width="9.8515625" style="131" customWidth="1"/>
    <col min="9" max="9" width="11.421875" style="128" customWidth="1"/>
    <col min="10" max="10" width="6.8515625" style="127" customWidth="1"/>
    <col min="11" max="30" width="6.57421875" style="127" hidden="1" customWidth="1"/>
    <col min="31" max="31" width="3.140625" style="127" hidden="1" customWidth="1"/>
    <col min="32" max="32" width="11.7109375" style="127" customWidth="1"/>
    <col min="33" max="33" width="11.8515625" style="127" customWidth="1"/>
    <col min="34" max="34" width="10.7109375" style="127" customWidth="1"/>
    <col min="35" max="35" width="11.00390625" style="127" customWidth="1"/>
    <col min="36" max="36" width="9.8515625" style="127" customWidth="1"/>
    <col min="37" max="37" width="9.00390625" style="140" customWidth="1"/>
    <col min="38" max="38" width="18.00390625" style="140" customWidth="1"/>
    <col min="39" max="39" width="23.57421875" style="127" customWidth="1"/>
    <col min="40" max="40" width="16.421875" style="127" customWidth="1"/>
    <col min="41" max="41" width="21.57421875" style="127" customWidth="1"/>
    <col min="42" max="16384" width="9.00390625" style="127" customWidth="1"/>
  </cols>
  <sheetData>
    <row r="1" spans="1:41" ht="15.75" customHeight="1">
      <c r="A1" s="145"/>
      <c r="B1" s="146"/>
      <c r="C1" s="133"/>
      <c r="D1" s="147"/>
      <c r="E1" s="193"/>
      <c r="F1" s="149"/>
      <c r="G1" s="149"/>
      <c r="H1" s="149"/>
      <c r="I1" s="150"/>
      <c r="J1" s="26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51"/>
      <c r="AL1" s="151"/>
      <c r="AM1" s="148"/>
      <c r="AN1" s="148"/>
      <c r="AO1" s="148"/>
    </row>
    <row r="2" spans="1:41" ht="15" customHeight="1">
      <c r="A2" s="145"/>
      <c r="B2" s="147"/>
      <c r="C2" s="133"/>
      <c r="D2" s="147"/>
      <c r="E2" s="193"/>
      <c r="F2" s="149"/>
      <c r="G2" s="149"/>
      <c r="H2" s="149"/>
      <c r="I2" s="150"/>
      <c r="J2" s="26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51"/>
      <c r="AL2" s="151"/>
      <c r="AM2" s="148"/>
      <c r="AN2" s="148"/>
      <c r="AO2" s="148"/>
    </row>
    <row r="3" spans="1:41" ht="18">
      <c r="A3" s="145"/>
      <c r="B3" s="196" t="s">
        <v>135</v>
      </c>
      <c r="C3" s="197"/>
      <c r="D3" s="198"/>
      <c r="E3" s="193"/>
      <c r="F3" s="149"/>
      <c r="G3" s="149"/>
      <c r="H3" s="149"/>
      <c r="I3" s="150"/>
      <c r="J3" s="26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51"/>
      <c r="AL3" s="151"/>
      <c r="AM3" s="148"/>
      <c r="AN3" s="148"/>
      <c r="AO3" s="148"/>
    </row>
    <row r="4" spans="1:41" ht="18">
      <c r="A4" s="145"/>
      <c r="B4" s="196" t="s">
        <v>234</v>
      </c>
      <c r="C4" s="134"/>
      <c r="D4" s="198"/>
      <c r="E4" s="193"/>
      <c r="F4" s="149"/>
      <c r="G4" s="149"/>
      <c r="H4" s="149"/>
      <c r="I4" s="150"/>
      <c r="J4" s="26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54"/>
      <c r="AC4" s="148"/>
      <c r="AD4" s="148"/>
      <c r="AE4" s="148"/>
      <c r="AF4" s="148"/>
      <c r="AG4" s="148"/>
      <c r="AH4" s="148"/>
      <c r="AI4" s="148"/>
      <c r="AJ4" s="148"/>
      <c r="AK4" s="151"/>
      <c r="AL4" s="151"/>
      <c r="AM4" s="148"/>
      <c r="AN4" s="148"/>
      <c r="AO4" s="148"/>
    </row>
    <row r="5" spans="1:41" ht="18">
      <c r="A5" s="145"/>
      <c r="B5" s="152"/>
      <c r="C5" s="134"/>
      <c r="D5" s="153"/>
      <c r="E5" s="193"/>
      <c r="F5" s="155"/>
      <c r="G5" s="156"/>
      <c r="H5" s="156"/>
      <c r="I5" s="157"/>
      <c r="J5" s="26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54"/>
      <c r="AC5" s="148"/>
      <c r="AD5" s="148"/>
      <c r="AE5" s="148"/>
      <c r="AF5" s="148"/>
      <c r="AG5" s="148"/>
      <c r="AH5" s="148"/>
      <c r="AI5" s="148"/>
      <c r="AJ5" s="148"/>
      <c r="AK5" s="151"/>
      <c r="AL5" s="151"/>
      <c r="AM5" s="148"/>
      <c r="AN5" s="148"/>
      <c r="AO5" s="148"/>
    </row>
    <row r="6" spans="1:41" ht="18.75" thickBot="1">
      <c r="A6" s="145"/>
      <c r="B6" s="152"/>
      <c r="C6" s="134"/>
      <c r="D6" s="153"/>
      <c r="E6" s="194"/>
      <c r="F6" s="158" t="s">
        <v>8</v>
      </c>
      <c r="G6" s="132"/>
      <c r="H6" s="159"/>
      <c r="I6" s="160"/>
      <c r="J6" s="26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54"/>
      <c r="AC6" s="148"/>
      <c r="AD6" s="148"/>
      <c r="AE6" s="148"/>
      <c r="AF6" s="148"/>
      <c r="AG6" s="148"/>
      <c r="AH6" s="148"/>
      <c r="AI6" s="148"/>
      <c r="AJ6" s="148"/>
      <c r="AK6" s="151"/>
      <c r="AL6" s="151"/>
      <c r="AM6" s="148"/>
      <c r="AN6" s="148"/>
      <c r="AO6" s="148"/>
    </row>
    <row r="7" spans="1:41" ht="18.75" thickBot="1">
      <c r="A7" s="145"/>
      <c r="B7" s="152"/>
      <c r="C7" s="134"/>
      <c r="D7" s="153"/>
      <c r="E7" s="194"/>
      <c r="F7" s="161" t="s">
        <v>9</v>
      </c>
      <c r="G7" s="162" t="s">
        <v>10</v>
      </c>
      <c r="H7" s="163" t="s">
        <v>11</v>
      </c>
      <c r="I7" s="164" t="s">
        <v>12</v>
      </c>
      <c r="J7" s="26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54"/>
      <c r="AC7" s="148"/>
      <c r="AD7" s="148"/>
      <c r="AE7" s="148"/>
      <c r="AF7" s="148"/>
      <c r="AG7" s="148"/>
      <c r="AH7" s="148"/>
      <c r="AI7" s="148"/>
      <c r="AJ7" s="148"/>
      <c r="AK7" s="151"/>
      <c r="AL7" s="151"/>
      <c r="AM7" s="148"/>
      <c r="AN7" s="148"/>
      <c r="AO7" s="148"/>
    </row>
    <row r="8" spans="1:41" ht="21" customHeight="1" thickBot="1" thickTop="1">
      <c r="A8" s="145"/>
      <c r="B8" s="152"/>
      <c r="C8" s="134"/>
      <c r="D8" s="153"/>
      <c r="E8" s="194"/>
      <c r="F8" s="165" t="s">
        <v>92</v>
      </c>
      <c r="G8" s="284"/>
      <c r="H8" s="285"/>
      <c r="I8" s="166"/>
      <c r="J8" s="268"/>
      <c r="K8" s="167" t="s">
        <v>44</v>
      </c>
      <c r="L8" s="168"/>
      <c r="M8" s="168"/>
      <c r="N8" s="168" t="s">
        <v>88</v>
      </c>
      <c r="O8" s="168"/>
      <c r="P8" s="169"/>
      <c r="Q8" s="170"/>
      <c r="R8" s="167" t="s">
        <v>45</v>
      </c>
      <c r="S8" s="168"/>
      <c r="T8" s="168"/>
      <c r="U8" s="168" t="s">
        <v>89</v>
      </c>
      <c r="V8" s="168"/>
      <c r="W8" s="169"/>
      <c r="X8" s="170"/>
      <c r="Y8" s="167" t="s">
        <v>64</v>
      </c>
      <c r="Z8" s="168"/>
      <c r="AA8" s="168"/>
      <c r="AB8" s="168"/>
      <c r="AC8" s="168"/>
      <c r="AD8" s="169"/>
      <c r="AE8" s="148"/>
      <c r="AF8" s="171" t="s">
        <v>88</v>
      </c>
      <c r="AG8" s="172" t="s">
        <v>89</v>
      </c>
      <c r="AH8" s="171" t="s">
        <v>64</v>
      </c>
      <c r="AI8" s="173" t="s">
        <v>91</v>
      </c>
      <c r="AJ8" s="174" t="s">
        <v>133</v>
      </c>
      <c r="AK8" s="267" t="s">
        <v>231</v>
      </c>
      <c r="AL8" s="267" t="s">
        <v>326</v>
      </c>
      <c r="AM8" s="148"/>
      <c r="AN8" s="148"/>
      <c r="AO8" s="148"/>
    </row>
    <row r="9" spans="1:41" s="129" customFormat="1" ht="68.25" customHeight="1" thickBot="1">
      <c r="A9" s="286" t="s">
        <v>76</v>
      </c>
      <c r="B9" s="287" t="s">
        <v>74</v>
      </c>
      <c r="C9" s="288" t="s">
        <v>93</v>
      </c>
      <c r="D9" s="287" t="s">
        <v>75</v>
      </c>
      <c r="E9" s="289" t="s">
        <v>43</v>
      </c>
      <c r="F9" s="290" t="s">
        <v>94</v>
      </c>
      <c r="G9" s="291" t="s">
        <v>95</v>
      </c>
      <c r="H9" s="292" t="s">
        <v>96</v>
      </c>
      <c r="I9" s="293">
        <f>SUM(I10:I194)</f>
        <v>3152</v>
      </c>
      <c r="J9" s="278"/>
      <c r="K9" s="175" t="s">
        <v>82</v>
      </c>
      <c r="L9" s="175" t="s">
        <v>83</v>
      </c>
      <c r="M9" s="175" t="s">
        <v>80</v>
      </c>
      <c r="N9" s="175" t="s">
        <v>84</v>
      </c>
      <c r="O9" s="175" t="s">
        <v>85</v>
      </c>
      <c r="P9" s="175" t="s">
        <v>86</v>
      </c>
      <c r="Q9" s="176"/>
      <c r="R9" s="175" t="s">
        <v>82</v>
      </c>
      <c r="S9" s="175" t="s">
        <v>83</v>
      </c>
      <c r="T9" s="175" t="s">
        <v>80</v>
      </c>
      <c r="U9" s="175" t="s">
        <v>84</v>
      </c>
      <c r="V9" s="175" t="s">
        <v>85</v>
      </c>
      <c r="W9" s="175" t="s">
        <v>90</v>
      </c>
      <c r="X9" s="176"/>
      <c r="Y9" s="175" t="s">
        <v>82</v>
      </c>
      <c r="Z9" s="175" t="s">
        <v>83</v>
      </c>
      <c r="AA9" s="175" t="s">
        <v>80</v>
      </c>
      <c r="AB9" s="175" t="s">
        <v>84</v>
      </c>
      <c r="AC9" s="175" t="s">
        <v>85</v>
      </c>
      <c r="AD9" s="175" t="s">
        <v>87</v>
      </c>
      <c r="AE9" s="177"/>
      <c r="AF9" s="178">
        <f>SUM(AF10:AF194)</f>
        <v>1441.8890758670034</v>
      </c>
      <c r="AG9" s="178">
        <f>SUM(AG10:AG194)</f>
        <v>93.08331687951147</v>
      </c>
      <c r="AH9" s="178">
        <f>SUM(AH10:AH194)</f>
        <v>2459.139925736805</v>
      </c>
      <c r="AI9" s="178">
        <f>SUM(AI10:AI194)</f>
        <v>3994.1123184833214</v>
      </c>
      <c r="AJ9" s="179"/>
      <c r="AK9" s="267"/>
      <c r="AL9" s="267"/>
      <c r="AM9" s="237"/>
      <c r="AN9" s="238"/>
      <c r="AO9" s="239"/>
    </row>
    <row r="10" spans="1:41" ht="15.75" thickTop="1">
      <c r="A10" s="294">
        <v>1</v>
      </c>
      <c r="B10" s="201" t="s">
        <v>197</v>
      </c>
      <c r="C10" s="202">
        <v>37</v>
      </c>
      <c r="D10" s="201" t="s">
        <v>198</v>
      </c>
      <c r="E10" s="203" t="str">
        <f>IF(ISNUMBER(C10),IF(C10&lt;=units!$L$7,units!$L$8,IF(C10&lt;=units!$N$7,units!$M$8,IF(C10&gt;units!$O$8,"OXI",units!$N$8))),"--")</f>
        <v>BUS</v>
      </c>
      <c r="F10" s="204">
        <v>0</v>
      </c>
      <c r="G10" s="205">
        <v>10</v>
      </c>
      <c r="H10" s="206">
        <v>0</v>
      </c>
      <c r="I10" s="295">
        <f aca="true" t="shared" si="0" ref="I10:I41">IF(SUM(F10:H10)=0,"--",SUM(F10:H10))</f>
        <v>10</v>
      </c>
      <c r="J10" s="279"/>
      <c r="K10" s="275">
        <f>(units!$B$4*(F10*1.2*units!$B$23+G10*1.2*units!$D$23+H10*1.2*units!$E$23))+(F10*1.2*units!$B$31+G10*1.2*units!$D$31+H10*1.2*units!$E$31)+(F10*1.2*units!$B$35+G10*1.2*units!$D$35+H10*1.2*units!$E$35)</f>
        <v>9.711180923076924</v>
      </c>
      <c r="L10" s="207">
        <f>units!$F$8*((F10*1.2/units!$B$19)*60+((G10*1.2/units!$D$19)*60)+((H10*1.2/units!$E$19)*60))/60</f>
        <v>2.158831908831909</v>
      </c>
      <c r="M10" s="207">
        <f>units!$H$8*((F10*1.2/units!$B$19)*60+((G10*1.2/units!$D$19)*60)+((H10*1.2/units!$E$19)*60))/60</f>
        <v>4.040404040404041</v>
      </c>
      <c r="N10" s="207">
        <f aca="true" t="shared" si="1" ref="N10:N41">0.25*(K10+L10+M10)</f>
        <v>3.977604218078218</v>
      </c>
      <c r="O10" s="207">
        <f aca="true" t="shared" si="2" ref="O10:O41">0.15*(K10+L10+M10+N10)</f>
        <v>2.9832031635586636</v>
      </c>
      <c r="P10" s="208">
        <f aca="true" t="shared" si="3" ref="P10:P41">SUM(K10:O10)</f>
        <v>22.871224253949755</v>
      </c>
      <c r="Q10" s="209"/>
      <c r="R10" s="207">
        <f>(F10*1.2*units!$B$36+G10*1.2*units!$D$36+H10*1.2*units!$E$36)+(F10*1.2*units!$B$32+G10*1.2*units!$D$32+H10*1.2*units!$E$32)+(units!$B$4*(F10*1.2*units!$B$24+G10*1.2*units!$D$24+H10*1.2*units!$E$24))</f>
        <v>5.283550153846154</v>
      </c>
      <c r="S10" s="207">
        <f>units!$F$9*(((F10*1.2/units!$B$20)*60)+((G10*1.2/units!$D$20)*60)+((H10*1.2/units!$E$20)*60))/60</f>
        <v>1.4305555555555556</v>
      </c>
      <c r="T10" s="207">
        <f>units!$H$9*(((F10*1.2/units!$B$20)*60)+((G10*1.2/units!$D$20)*60)+((H10*1.2/units!$E$20)*60))/60</f>
        <v>4.040404040404041</v>
      </c>
      <c r="U10" s="207">
        <f aca="true" t="shared" si="4" ref="U10:U41">0.25*(R10+S10+T10)</f>
        <v>2.688627437451437</v>
      </c>
      <c r="V10" s="207">
        <f aca="true" t="shared" si="5" ref="V10:V41">0.15*(R10+S10+T10+U10)</f>
        <v>2.016470578088578</v>
      </c>
      <c r="W10" s="208">
        <f aca="true" t="shared" si="6" ref="W10:W41">SUM(R10:V10)</f>
        <v>15.459607765345764</v>
      </c>
      <c r="X10" s="209"/>
      <c r="Y10" s="207">
        <f>(units!$B$4*(units!$B$25*F10*1.2+units!$D$25*G10*1.2+units!$E$25*H10*1.2)+(F10*1.2*units!$B$33+G10*1.2*units!$D$33+H10*1.2*units!$E$33)+(F10*1.2*units!$B$37+G10*1.2*units!$D$37+H10*1.2*units!$E$37))</f>
        <v>2.279442839160839</v>
      </c>
      <c r="Z10" s="207">
        <f>units!$F$10*(((F10*1.2/units!$B$21)*60)+((G10*1.2/units!$D$21)*60)+((H10*1.2/units!$E$21)*60))/60</f>
        <v>0.27331002331002335</v>
      </c>
      <c r="AA10" s="207">
        <f>units!$H$10*(((F10*1.2/units!$B$21)*60)+((G10*1.2/units!$D$21)*60)+((H10*1.2/units!$E$21)*60))/60</f>
        <v>2.7548209366391183</v>
      </c>
      <c r="AB10" s="207">
        <f aca="true" t="shared" si="7" ref="AB10:AB41">0.25*(Y10+Z10+AA10)</f>
        <v>1.3268934497774951</v>
      </c>
      <c r="AC10" s="207">
        <f aca="true" t="shared" si="8" ref="AC10:AC41">0.15*(Y10+Z10+AA10+AB10)</f>
        <v>0.9951700873331213</v>
      </c>
      <c r="AD10" s="208">
        <f aca="true" t="shared" si="9" ref="AD10:AD41">SUM(Y10:AC10)</f>
        <v>7.629637336220597</v>
      </c>
      <c r="AE10" s="148"/>
      <c r="AF10" s="214">
        <f>IF(E10=units!$N$8,P10,"")</f>
        <v>22.871224253949755</v>
      </c>
      <c r="AG10" s="214">
        <f>IF(E10=units!$M$8,W10,"")</f>
      </c>
      <c r="AH10" s="214">
        <f>IF(E10=units!$L$8,AD10,"")</f>
      </c>
      <c r="AI10" s="214">
        <f aca="true" t="shared" si="10" ref="AI10:AI41">IF(SUM(AF10:AH10)&gt;0,SUM(AF10:AH10),"")</f>
        <v>22.871224253949755</v>
      </c>
      <c r="AJ10" s="180">
        <v>2</v>
      </c>
      <c r="AK10" s="255">
        <f aca="true" t="shared" si="11" ref="AK10:AK41">AI10*AJ10</f>
        <v>45.74244850789951</v>
      </c>
      <c r="AL10" s="256">
        <f>AK10*175</f>
        <v>8004.928488882414</v>
      </c>
      <c r="AM10" s="144"/>
      <c r="AN10" s="240"/>
      <c r="AO10" s="241"/>
    </row>
    <row r="11" spans="1:41" ht="15">
      <c r="A11" s="294">
        <v>2</v>
      </c>
      <c r="B11" s="201" t="s">
        <v>199</v>
      </c>
      <c r="C11" s="202">
        <v>61</v>
      </c>
      <c r="D11" s="201" t="s">
        <v>200</v>
      </c>
      <c r="E11" s="203" t="str">
        <f>IF(ISNUMBER(C11),IF(C11&lt;=units!$L$7,units!$L$8,IF(C11&lt;=units!$N$7,units!$M$8,IF(C11&gt;units!$O$8,"OXI",units!$N$8))),"--")</f>
        <v>BUS</v>
      </c>
      <c r="F11" s="210">
        <v>0</v>
      </c>
      <c r="G11" s="211"/>
      <c r="H11" s="212">
        <v>6</v>
      </c>
      <c r="I11" s="218">
        <f t="shared" si="0"/>
        <v>6</v>
      </c>
      <c r="J11" s="279"/>
      <c r="K11" s="276">
        <f>(units!$B$4*(F11*1.2*units!$B$23+G11*1.2*units!$D$23+H11*1.2*units!$E$23))+(F11*1.2*units!$B$31+G11*1.2*units!$D$31+H11*1.2*units!$E$31)+(F11*1.2*units!$B$35+G11*1.2*units!$D$35+H11*1.2*units!$E$35)</f>
        <v>9.190419112087913</v>
      </c>
      <c r="L11" s="213">
        <f>units!$F$8*((F11*1.2/units!$B$19)*60+((G11*1.2/units!$D$19)*60)+((H11*1.2/units!$E$19)*60))/60</f>
        <v>1.6653846153846155</v>
      </c>
      <c r="M11" s="213">
        <f>units!$H$8*((F11*1.2/units!$B$19)*60+((G11*1.2/units!$D$19)*60)+((H11*1.2/units!$E$19)*60))/60</f>
        <v>3.1168831168831166</v>
      </c>
      <c r="N11" s="213">
        <f t="shared" si="1"/>
        <v>3.493171711088911</v>
      </c>
      <c r="O11" s="213">
        <f t="shared" si="2"/>
        <v>2.619878783316683</v>
      </c>
      <c r="P11" s="214">
        <f t="shared" si="3"/>
        <v>20.085737338761238</v>
      </c>
      <c r="Q11" s="215"/>
      <c r="R11" s="213">
        <f>(F11*1.2*units!$B$36+G11*1.2*units!$D$36+H11*1.2*units!$E$36)+(F11*1.2*units!$B$32+G11*1.2*units!$D$32+H11*1.2*units!$E$32)+(units!$B$4*(F11*1.2*units!$B$24+G11*1.2*units!$D$24+H11*1.2*units!$E$24))</f>
        <v>4.056110347252747</v>
      </c>
      <c r="S11" s="213">
        <f>units!$F$9*(((F11*1.2/units!$B$20)*60)+((G11*1.2/units!$D$20)*60)+((H11*1.2/units!$E$20)*60))/60</f>
        <v>1.1035714285714284</v>
      </c>
      <c r="T11" s="213">
        <f>units!$H$9*(((F11*1.2/units!$B$20)*60)+((G11*1.2/units!$D$20)*60)+((H11*1.2/units!$E$20)*60))/60</f>
        <v>3.1168831168831166</v>
      </c>
      <c r="U11" s="213">
        <f t="shared" si="4"/>
        <v>2.069141223176823</v>
      </c>
      <c r="V11" s="213">
        <f t="shared" si="5"/>
        <v>1.5518559173826172</v>
      </c>
      <c r="W11" s="216">
        <f t="shared" si="6"/>
        <v>11.897562033266732</v>
      </c>
      <c r="X11" s="215"/>
      <c r="Y11" s="213">
        <f>(units!$B$4*(units!$B$25*F11*1.2+units!$D$25*G11*1.2+units!$E$25*H11*1.2)+(F11*1.2*units!$B$33+G11*1.2*units!$D$33+H11*1.2*units!$E$33)+(F11*1.2*units!$B$37+G11*1.2*units!$D$37+H11*1.2*units!$E$37))</f>
        <v>1.5992410153846153</v>
      </c>
      <c r="Z11" s="213">
        <f>units!$F$10*(((F11*1.2/units!$B$21)*60)+((G11*1.2/units!$D$21)*60)+((H11*1.2/units!$E$21)*60))/60</f>
        <v>0.20042735042735044</v>
      </c>
      <c r="AA11" s="213">
        <f>units!$H$10*(((F11*1.2/units!$B$21)*60)+((G11*1.2/units!$D$21)*60)+((H11*1.2/units!$E$21)*60))/60</f>
        <v>2.02020202020202</v>
      </c>
      <c r="AB11" s="213">
        <f t="shared" si="7"/>
        <v>0.9549675965034964</v>
      </c>
      <c r="AC11" s="213">
        <f t="shared" si="8"/>
        <v>0.7162256973776223</v>
      </c>
      <c r="AD11" s="214">
        <f t="shared" si="9"/>
        <v>5.491063679895104</v>
      </c>
      <c r="AE11" s="148"/>
      <c r="AF11" s="214">
        <f>IF(E11=units!$N$8,P11,"")</f>
        <v>20.085737338761238</v>
      </c>
      <c r="AG11" s="214">
        <f>IF(E11=units!$M$8,W11,"")</f>
      </c>
      <c r="AH11" s="214">
        <f>IF(E11=units!$L$8,AD11,"")</f>
      </c>
      <c r="AI11" s="214">
        <f t="shared" si="10"/>
        <v>20.085737338761238</v>
      </c>
      <c r="AJ11" s="180">
        <v>4</v>
      </c>
      <c r="AK11" s="255">
        <f t="shared" si="11"/>
        <v>80.34294935504495</v>
      </c>
      <c r="AL11" s="256">
        <f aca="true" t="shared" si="12" ref="AL11:AL74">AK11*175</f>
        <v>14060.016137132867</v>
      </c>
      <c r="AM11" s="144"/>
      <c r="AN11" s="240"/>
      <c r="AO11" s="241"/>
    </row>
    <row r="12" spans="1:41" s="130" customFormat="1" ht="15">
      <c r="A12" s="294">
        <v>3</v>
      </c>
      <c r="B12" s="201" t="s">
        <v>235</v>
      </c>
      <c r="C12" s="232">
        <v>4</v>
      </c>
      <c r="D12" s="201" t="s">
        <v>114</v>
      </c>
      <c r="E12" s="203" t="str">
        <f>IF(ISNUMBER(C12),IF(C12&lt;=units!$L$7,units!$L$8,IF(C12&lt;=units!$N$7,units!$M$8,IF(C12&gt;units!$O$8,"OXI",units!$N$8))),"--")</f>
        <v>TAXI</v>
      </c>
      <c r="F12" s="210">
        <v>0</v>
      </c>
      <c r="G12" s="211">
        <v>0</v>
      </c>
      <c r="H12" s="212">
        <v>6</v>
      </c>
      <c r="I12" s="218">
        <f t="shared" si="0"/>
        <v>6</v>
      </c>
      <c r="J12" s="279"/>
      <c r="K12" s="276">
        <f>(units!$B$4*(F12*1.2*units!$B$23+G12*1.2*units!$D$23+H12*1.2*units!$E$23))+(F12*1.2*units!$B$31+G12*1.2*units!$D$31+H12*1.2*units!$E$31)+(F12*1.2*units!$B$35+G12*1.2*units!$D$35+H12*1.2*units!$E$35)</f>
        <v>9.190419112087913</v>
      </c>
      <c r="L12" s="213">
        <f>units!$F$8*((F12*1.2/units!$B$19)*60+((G12*1.2/units!$D$19)*60)+((H12*1.2/units!$E$19)*60))/60</f>
        <v>1.6653846153846155</v>
      </c>
      <c r="M12" s="213">
        <f>units!$H$8*((F12*1.2/units!$B$19)*60+((G12*1.2/units!$D$19)*60)+((H12*1.2/units!$E$19)*60))/60</f>
        <v>3.1168831168831166</v>
      </c>
      <c r="N12" s="213">
        <f t="shared" si="1"/>
        <v>3.493171711088911</v>
      </c>
      <c r="O12" s="213">
        <f t="shared" si="2"/>
        <v>2.619878783316683</v>
      </c>
      <c r="P12" s="214">
        <f t="shared" si="3"/>
        <v>20.085737338761238</v>
      </c>
      <c r="Q12" s="209"/>
      <c r="R12" s="213">
        <f>(F12*1.2*units!$B$36+G12*1.2*units!$D$36+H12*1.2*units!$E$36)+(F12*1.2*units!$B$32+G12*1.2*units!$D$32+H12*1.2*units!$E$32)+(units!$B$4*(F12*1.2*units!$B$24+G12*1.2*units!$D$24+H12*1.2*units!$E$24))</f>
        <v>4.056110347252747</v>
      </c>
      <c r="S12" s="213">
        <f>units!$F$9*(((F12*1.2/units!$B$20)*60)+((G12*1.2/units!$D$20)*60)+((H12*1.2/units!$E$20)*60))/60</f>
        <v>1.1035714285714284</v>
      </c>
      <c r="T12" s="213">
        <f>units!$H$9*(((F12*1.2/units!$B$20)*60)+((G12*1.2/units!$D$20)*60)+((H12*1.2/units!$E$20)*60))/60</f>
        <v>3.1168831168831166</v>
      </c>
      <c r="U12" s="213">
        <f t="shared" si="4"/>
        <v>2.069141223176823</v>
      </c>
      <c r="V12" s="213">
        <f t="shared" si="5"/>
        <v>1.5518559173826172</v>
      </c>
      <c r="W12" s="214">
        <f t="shared" si="6"/>
        <v>11.897562033266732</v>
      </c>
      <c r="X12" s="209"/>
      <c r="Y12" s="213">
        <f>(units!$B$4*(units!$B$25*F12*1.2+units!$D$25*G12*1.2+units!$E$25*H12*1.2)+(F12*1.2*units!$B$33+G12*1.2*units!$D$33+H12*1.2*units!$E$33)+(F12*1.2*units!$B$37+G12*1.2*units!$D$37+H12*1.2*units!$E$37))</f>
        <v>1.5992410153846153</v>
      </c>
      <c r="Z12" s="213">
        <f>units!$F$10*(((F12*1.2/units!$B$21)*60)+((G12*1.2/units!$D$21)*60)+((H12*1.2/units!$E$21)*60))/60</f>
        <v>0.20042735042735044</v>
      </c>
      <c r="AA12" s="213">
        <f>units!$H$10*(((F12*1.2/units!$B$21)*60)+((G12*1.2/units!$D$21)*60)+((H12*1.2/units!$E$21)*60))/60</f>
        <v>2.02020202020202</v>
      </c>
      <c r="AB12" s="213">
        <f t="shared" si="7"/>
        <v>0.9549675965034964</v>
      </c>
      <c r="AC12" s="213">
        <f t="shared" si="8"/>
        <v>0.7162256973776223</v>
      </c>
      <c r="AD12" s="214">
        <f t="shared" si="9"/>
        <v>5.491063679895104</v>
      </c>
      <c r="AE12" s="217"/>
      <c r="AF12" s="214">
        <f>IF(E12=units!$N$8,P12,"")</f>
      </c>
      <c r="AG12" s="214">
        <f>IF(E12=units!$M$8,W12,"")</f>
      </c>
      <c r="AH12" s="214">
        <f>IF(E12=units!$L$8,AD12,"")</f>
        <v>5.491063679895104</v>
      </c>
      <c r="AI12" s="214">
        <f t="shared" si="10"/>
        <v>5.491063679895104</v>
      </c>
      <c r="AJ12" s="181">
        <v>12</v>
      </c>
      <c r="AK12" s="255">
        <f t="shared" si="11"/>
        <v>65.89276415874124</v>
      </c>
      <c r="AL12" s="256">
        <f t="shared" si="12"/>
        <v>11531.233727779718</v>
      </c>
      <c r="AM12" s="241"/>
      <c r="AN12" s="240"/>
      <c r="AO12" s="241"/>
    </row>
    <row r="13" spans="1:41" s="130" customFormat="1" ht="15">
      <c r="A13" s="294">
        <v>4</v>
      </c>
      <c r="B13" s="201" t="s">
        <v>100</v>
      </c>
      <c r="C13" s="202">
        <v>3</v>
      </c>
      <c r="D13" s="201" t="s">
        <v>236</v>
      </c>
      <c r="E13" s="203" t="str">
        <f>IF(ISNUMBER(C13),IF(C13&lt;=units!$L$7,units!$L$8,IF(C13&lt;=units!$N$7,units!$M$8,IF(C13&gt;units!$O$8,"OXI",units!$N$8))),"--")</f>
        <v>TAXI</v>
      </c>
      <c r="F13" s="210">
        <v>15</v>
      </c>
      <c r="G13" s="211">
        <v>0</v>
      </c>
      <c r="H13" s="212">
        <v>0</v>
      </c>
      <c r="I13" s="218">
        <f t="shared" si="0"/>
        <v>15</v>
      </c>
      <c r="J13" s="279"/>
      <c r="K13" s="276">
        <f>(units!$B$4*(F13*1.2*units!$B$23+G13*1.2*units!$D$23+H13*1.2*units!$E$23))+(F13*1.2*units!$B$31+G13*1.2*units!$D$31+H13*1.2*units!$E$31)+(F13*1.2*units!$B$35+G13*1.2*units!$D$35+H13*1.2*units!$E$35)</f>
        <v>23.312632153846153</v>
      </c>
      <c r="L13" s="213">
        <f>units!$F$8*((F13*1.2/units!$B$19)*60+((G13*1.2/units!$D$19)*60)+((H13*1.2/units!$E$19)*60))/60</f>
        <v>9.714743589743591</v>
      </c>
      <c r="M13" s="213">
        <f>units!$H$8*((F13*1.2/units!$B$19)*60+((G13*1.2/units!$D$19)*60)+((H13*1.2/units!$E$19)*60))/60</f>
        <v>18.181818181818183</v>
      </c>
      <c r="N13" s="213">
        <f t="shared" si="1"/>
        <v>12.802298481351983</v>
      </c>
      <c r="O13" s="213">
        <f t="shared" si="2"/>
        <v>9.601723861013987</v>
      </c>
      <c r="P13" s="214">
        <f t="shared" si="3"/>
        <v>73.61321626777391</v>
      </c>
      <c r="Q13" s="215"/>
      <c r="R13" s="213">
        <f>(F13*1.2*units!$B$36+G13*1.2*units!$D$36+H13*1.2*units!$E$36)+(F13*1.2*units!$B$32+G13*1.2*units!$D$32+H13*1.2*units!$E$32)+(units!$B$4*(F13*1.2*units!$B$24+G13*1.2*units!$D$24+H13*1.2*units!$E$24))</f>
        <v>11.329940076923076</v>
      </c>
      <c r="S13" s="213">
        <f>units!$F$9*(((F13*1.2/units!$B$20)*60)+((G13*1.2/units!$D$20)*60)+((H13*1.2/units!$E$20)*60))/60</f>
        <v>5.364583333333333</v>
      </c>
      <c r="T13" s="213">
        <f>units!$H$9*(((F13*1.2/units!$B$20)*60)+((G13*1.2/units!$D$20)*60)+((H13*1.2/units!$E$20)*60))/60</f>
        <v>15.151515151515152</v>
      </c>
      <c r="U13" s="213">
        <f t="shared" si="4"/>
        <v>7.96150964044289</v>
      </c>
      <c r="V13" s="213">
        <f t="shared" si="5"/>
        <v>5.9711322303321674</v>
      </c>
      <c r="W13" s="216">
        <f t="shared" si="6"/>
        <v>45.778680432546615</v>
      </c>
      <c r="X13" s="215"/>
      <c r="Y13" s="213">
        <f>(units!$B$4*(units!$B$25*F13*1.2+units!$D$25*G13*1.2+units!$E$25*H13*1.2)+(F13*1.2*units!$B$33+G13*1.2*units!$D$33+H13*1.2*units!$E$33)+(F13*1.2*units!$B$37+G13*1.2*units!$D$37+H13*1.2*units!$E$37))</f>
        <v>3.8948888076923076</v>
      </c>
      <c r="Z13" s="213">
        <f>units!$F$10*(((F13*1.2/units!$B$21)*60)+((G13*1.2/units!$D$21)*60)+((H13*1.2/units!$E$21)*60))/60</f>
        <v>0.7516025641025642</v>
      </c>
      <c r="AA13" s="213">
        <f>units!$H$10*(((F13*1.2/units!$B$21)*60)+((G13*1.2/units!$D$21)*60)+((H13*1.2/units!$E$21)*60))/60</f>
        <v>7.575757575757576</v>
      </c>
      <c r="AB13" s="213">
        <f t="shared" si="7"/>
        <v>3.055562236888112</v>
      </c>
      <c r="AC13" s="213">
        <f t="shared" si="8"/>
        <v>2.2916716776660837</v>
      </c>
      <c r="AD13" s="214">
        <f t="shared" si="9"/>
        <v>17.569482862106643</v>
      </c>
      <c r="AE13" s="148"/>
      <c r="AF13" s="214">
        <f>IF(E13=units!$N$8,P13,"")</f>
      </c>
      <c r="AG13" s="214">
        <f>IF(E13=units!$M$8,W13,"")</f>
      </c>
      <c r="AH13" s="214">
        <f>IF(E13=units!$L$8,AD13,"")</f>
        <v>17.569482862106643</v>
      </c>
      <c r="AI13" s="214">
        <f t="shared" si="10"/>
        <v>17.569482862106643</v>
      </c>
      <c r="AJ13" s="181">
        <v>2</v>
      </c>
      <c r="AK13" s="255">
        <f t="shared" si="11"/>
        <v>35.138965724213286</v>
      </c>
      <c r="AL13" s="256">
        <f t="shared" si="12"/>
        <v>6149.319001737325</v>
      </c>
      <c r="AM13" s="241"/>
      <c r="AN13" s="242"/>
      <c r="AO13" s="241"/>
    </row>
    <row r="14" spans="1:41" s="130" customFormat="1" ht="30">
      <c r="A14" s="294">
        <v>5</v>
      </c>
      <c r="B14" s="201" t="s">
        <v>101</v>
      </c>
      <c r="C14" s="202">
        <v>57</v>
      </c>
      <c r="D14" s="201" t="s">
        <v>115</v>
      </c>
      <c r="E14" s="203" t="str">
        <f>IF(ISNUMBER(C14),IF(C14&lt;=units!$L$7,units!$L$8,IF(C14&lt;=units!$N$7,units!$M$8,IF(C14&gt;units!$O$8,"OXI",units!$N$8))),"--")</f>
        <v>BUS</v>
      </c>
      <c r="F14" s="210">
        <v>0</v>
      </c>
      <c r="G14" s="211">
        <v>7</v>
      </c>
      <c r="H14" s="212">
        <v>0</v>
      </c>
      <c r="I14" s="218">
        <f t="shared" si="0"/>
        <v>7</v>
      </c>
      <c r="J14" s="279"/>
      <c r="K14" s="276">
        <f>(units!$B$4*(F14*1.2*units!$B$23+G14*1.2*units!$D$23+H14*1.2*units!$E$23))+(F14*1.2*units!$B$31+G14*1.2*units!$D$31+H14*1.2*units!$E$31)+(F14*1.2*units!$B$35+G14*1.2*units!$D$35+H14*1.2*units!$E$35)</f>
        <v>6.7978266461538475</v>
      </c>
      <c r="L14" s="213">
        <f>units!$F$8*((F14*1.2/units!$B$19)*60+((G14*1.2/units!$D$19)*60)+((H14*1.2/units!$E$19)*60))/60</f>
        <v>1.5111823361823367</v>
      </c>
      <c r="M14" s="213">
        <f>units!$H$8*((F14*1.2/units!$B$19)*60+((G14*1.2/units!$D$19)*60)+((H14*1.2/units!$E$19)*60))/60</f>
        <v>2.8282828282828287</v>
      </c>
      <c r="N14" s="213">
        <f t="shared" si="1"/>
        <v>2.7843229526547533</v>
      </c>
      <c r="O14" s="213">
        <f t="shared" si="2"/>
        <v>2.0882422144910646</v>
      </c>
      <c r="P14" s="214">
        <f t="shared" si="3"/>
        <v>16.00985697776483</v>
      </c>
      <c r="Q14" s="209"/>
      <c r="R14" s="213">
        <f>(F14*1.2*units!$B$36+G14*1.2*units!$D$36+H14*1.2*units!$E$36)+(F14*1.2*units!$B$32+G14*1.2*units!$D$32+H14*1.2*units!$E$32)+(units!$B$4*(F14*1.2*units!$B$24+G14*1.2*units!$D$24+H14*1.2*units!$E$24))</f>
        <v>3.698485107692308</v>
      </c>
      <c r="S14" s="213">
        <f>units!$F$9*(((F14*1.2/units!$B$20)*60)+((G14*1.2/units!$D$20)*60)+((H14*1.2/units!$E$20)*60))/60</f>
        <v>1.0013888888888889</v>
      </c>
      <c r="T14" s="213">
        <f>units!$H$9*(((F14*1.2/units!$B$20)*60)+((G14*1.2/units!$D$20)*60)+((H14*1.2/units!$E$20)*60))/60</f>
        <v>2.8282828282828287</v>
      </c>
      <c r="U14" s="213">
        <f t="shared" si="4"/>
        <v>1.8820392062160065</v>
      </c>
      <c r="V14" s="213">
        <f t="shared" si="5"/>
        <v>1.4115294046620048</v>
      </c>
      <c r="W14" s="214">
        <f t="shared" si="6"/>
        <v>10.821725435742037</v>
      </c>
      <c r="X14" s="209"/>
      <c r="Y14" s="213">
        <f>(units!$B$4*(units!$B$25*F14*1.2+units!$D$25*G14*1.2+units!$E$25*H14*1.2)+(F14*1.2*units!$B$33+G14*1.2*units!$D$33+H14*1.2*units!$E$33)+(F14*1.2*units!$B$37+G14*1.2*units!$D$37+H14*1.2*units!$E$37))</f>
        <v>1.5956099874125875</v>
      </c>
      <c r="Z14" s="213">
        <f>units!$F$10*(((F14*1.2/units!$B$21)*60)+((G14*1.2/units!$D$21)*60)+((H14*1.2/units!$E$21)*60))/60</f>
        <v>0.19131701631701636</v>
      </c>
      <c r="AA14" s="213">
        <f>units!$H$10*(((F14*1.2/units!$B$21)*60)+((G14*1.2/units!$D$21)*60)+((H14*1.2/units!$E$21)*60))/60</f>
        <v>1.9283746556473829</v>
      </c>
      <c r="AB14" s="213">
        <f t="shared" si="7"/>
        <v>0.9288254148442467</v>
      </c>
      <c r="AC14" s="213">
        <f t="shared" si="8"/>
        <v>0.6966190611331851</v>
      </c>
      <c r="AD14" s="214">
        <f t="shared" si="9"/>
        <v>5.3407461353544186</v>
      </c>
      <c r="AE14" s="217"/>
      <c r="AF14" s="214">
        <f>IF(E14=units!$N$8,P14,"")</f>
        <v>16.00985697776483</v>
      </c>
      <c r="AG14" s="214">
        <f>IF(E14=units!$M$8,W14,"")</f>
      </c>
      <c r="AH14" s="214">
        <f>IF(E14=units!$L$8,AD14,"")</f>
      </c>
      <c r="AI14" s="214">
        <f t="shared" si="10"/>
        <v>16.00985697776483</v>
      </c>
      <c r="AJ14" s="181">
        <v>2</v>
      </c>
      <c r="AK14" s="255">
        <f t="shared" si="11"/>
        <v>32.01971395552966</v>
      </c>
      <c r="AL14" s="256">
        <f t="shared" si="12"/>
        <v>5603.4499422176905</v>
      </c>
      <c r="AM14" s="144"/>
      <c r="AN14" s="243"/>
      <c r="AO14" s="241"/>
    </row>
    <row r="15" spans="1:41" s="130" customFormat="1" ht="15">
      <c r="A15" s="294">
        <v>6</v>
      </c>
      <c r="B15" s="201" t="s">
        <v>241</v>
      </c>
      <c r="C15" s="232">
        <v>4</v>
      </c>
      <c r="D15" s="201" t="s">
        <v>216</v>
      </c>
      <c r="E15" s="203" t="str">
        <f>IF(ISNUMBER(C15),IF(C15&lt;=units!$L$7,units!$L$8,IF(C15&lt;=units!$N$7,units!$M$8,IF(C15&gt;units!$O$8,"OXI",units!$N$8))),"--")</f>
        <v>TAXI</v>
      </c>
      <c r="F15" s="210">
        <v>0</v>
      </c>
      <c r="G15" s="211">
        <v>0</v>
      </c>
      <c r="H15" s="212">
        <v>5</v>
      </c>
      <c r="I15" s="218">
        <f>IF(SUM(F15:H15)=0,"--",SUM(F15:H15))</f>
        <v>5</v>
      </c>
      <c r="J15" s="279"/>
      <c r="K15" s="276">
        <f>(units!$B$4*(F15*1.2*units!$B$23+G15*1.2*units!$D$23+H15*1.2*units!$E$23))+(F15*1.2*units!$B$31+G15*1.2*units!$D$31+H15*1.2*units!$E$31)+(F15*1.2*units!$B$35+G15*1.2*units!$D$35+H15*1.2*units!$E$35)</f>
        <v>7.658682593406594</v>
      </c>
      <c r="L15" s="213">
        <f>units!$F$8*((F15*1.2/units!$B$19)*60+((G15*1.2/units!$D$19)*60)+((H15*1.2/units!$E$19)*60))/60</f>
        <v>1.3878205128205132</v>
      </c>
      <c r="M15" s="213">
        <f>units!$H$8*((F15*1.2/units!$B$19)*60+((G15*1.2/units!$D$19)*60)+((H15*1.2/units!$E$19)*60))/60</f>
        <v>2.597402597402598</v>
      </c>
      <c r="N15" s="213">
        <f>0.25*(K15+L15+M15)</f>
        <v>2.910976425907426</v>
      </c>
      <c r="O15" s="213">
        <f>0.15*(K15+L15+M15+N15)</f>
        <v>2.1832323194305694</v>
      </c>
      <c r="P15" s="214">
        <f>SUM(K15:O15)</f>
        <v>16.7381144489677</v>
      </c>
      <c r="Q15" s="209"/>
      <c r="R15" s="213">
        <f>(F15*1.2*units!$B$36+G15*1.2*units!$D$36+H15*1.2*units!$E$36)+(F15*1.2*units!$B$32+G15*1.2*units!$D$32+H15*1.2*units!$E$32)+(units!$B$4*(F15*1.2*units!$B$24+G15*1.2*units!$D$24+H15*1.2*units!$E$24))</f>
        <v>3.380091956043956</v>
      </c>
      <c r="S15" s="213">
        <f>units!$F$9*(((F15*1.2/units!$B$20)*60)+((G15*1.2/units!$D$20)*60)+((H15*1.2/units!$E$20)*60))/60</f>
        <v>0.9196428571428572</v>
      </c>
      <c r="T15" s="213">
        <f>units!$H$9*(((F15*1.2/units!$B$20)*60)+((G15*1.2/units!$D$20)*60)+((H15*1.2/units!$E$20)*60))/60</f>
        <v>2.597402597402598</v>
      </c>
      <c r="U15" s="213">
        <f>0.25*(R15+S15+T15)</f>
        <v>1.7242843526473526</v>
      </c>
      <c r="V15" s="213">
        <f>0.15*(R15+S15+T15+U15)</f>
        <v>1.2932132644855143</v>
      </c>
      <c r="W15" s="214">
        <f>SUM(R15:V15)</f>
        <v>9.914635027722277</v>
      </c>
      <c r="X15" s="209"/>
      <c r="Y15" s="213">
        <f>(units!$B$4*(units!$B$25*F15*1.2+units!$D$25*G15*1.2+units!$E$25*H15*1.2)+(F15*1.2*units!$B$33+G15*1.2*units!$D$33+H15*1.2*units!$E$33)+(F15*1.2*units!$B$37+G15*1.2*units!$D$37+H15*1.2*units!$E$37))</f>
        <v>1.332700846153846</v>
      </c>
      <c r="Z15" s="213">
        <f>units!$F$10*(((F15*1.2/units!$B$21)*60)+((G15*1.2/units!$D$21)*60)+((H15*1.2/units!$E$21)*60))/60</f>
        <v>0.16702279202279205</v>
      </c>
      <c r="AA15" s="213">
        <f>units!$H$10*(((F15*1.2/units!$B$21)*60)+((G15*1.2/units!$D$21)*60)+((H15*1.2/units!$E$21)*60))/60</f>
        <v>1.6835016835016836</v>
      </c>
      <c r="AB15" s="213">
        <f>0.25*(Y15+Z15+AA15)</f>
        <v>0.7958063304195804</v>
      </c>
      <c r="AC15" s="213">
        <f>0.15*(Y15+Z15+AA15+AB15)</f>
        <v>0.5968547478146853</v>
      </c>
      <c r="AD15" s="214">
        <f>SUM(Y15:AC15)</f>
        <v>4.575886399912587</v>
      </c>
      <c r="AE15" s="217"/>
      <c r="AF15" s="214">
        <f>IF(E15=units!$N$8,P15,"")</f>
      </c>
      <c r="AG15" s="214">
        <f>IF(E15=units!$M$8,W15,"")</f>
      </c>
      <c r="AH15" s="214">
        <f>IF(E15=units!$L$8,AD15,"")</f>
        <v>4.575886399912587</v>
      </c>
      <c r="AI15" s="214">
        <f>IF(SUM(AF15:AH15)&gt;0,SUM(AF15:AH15),"")</f>
        <v>4.575886399912587</v>
      </c>
      <c r="AJ15" s="181">
        <v>6</v>
      </c>
      <c r="AK15" s="255">
        <f>AI15*AJ15</f>
        <v>27.455318399475523</v>
      </c>
      <c r="AL15" s="256">
        <f t="shared" si="12"/>
        <v>4804.680719908217</v>
      </c>
      <c r="AM15" s="241"/>
      <c r="AN15" s="242"/>
      <c r="AO15" s="241"/>
    </row>
    <row r="16" spans="1:41" s="130" customFormat="1" ht="18">
      <c r="A16" s="294">
        <v>7</v>
      </c>
      <c r="B16" s="201" t="s">
        <v>230</v>
      </c>
      <c r="C16" s="202">
        <v>47</v>
      </c>
      <c r="D16" s="201" t="s">
        <v>201</v>
      </c>
      <c r="E16" s="203" t="str">
        <f>IF(ISNUMBER(C16),IF(C16&lt;=units!$L$7,units!$L$8,IF(C16&lt;=units!$N$7,units!$M$8,IF(C16&gt;units!$O$8,"OXI",units!$N$8))),"--")</f>
        <v>BUS</v>
      </c>
      <c r="F16" s="210">
        <v>0</v>
      </c>
      <c r="G16" s="211">
        <v>2</v>
      </c>
      <c r="H16" s="212">
        <v>0</v>
      </c>
      <c r="I16" s="218">
        <f t="shared" si="0"/>
        <v>2</v>
      </c>
      <c r="J16" s="280"/>
      <c r="K16" s="276">
        <f>(units!$B$4*(F16*1.2*units!$B$23+G16*1.2*units!$D$23+H16*1.2*units!$E$23))+(F16*1.2*units!$B$31+G16*1.2*units!$D$31+H16*1.2*units!$E$31)+(F16*1.2*units!$B$35+G16*1.2*units!$D$35+H16*1.2*units!$E$35)</f>
        <v>1.9422361846153846</v>
      </c>
      <c r="L16" s="213">
        <f>units!$F$8*((F16*1.2/units!$B$19)*60+((G16*1.2/units!$D$19)*60)+((H16*1.2/units!$E$19)*60))/60</f>
        <v>0.43176638176638177</v>
      </c>
      <c r="M16" s="213">
        <f>units!$H$8*((F16*1.2/units!$B$19)*60+((G16*1.2/units!$D$19)*60)+((H16*1.2/units!$E$19)*60))/60</f>
        <v>0.8080808080808081</v>
      </c>
      <c r="N16" s="213">
        <f t="shared" si="1"/>
        <v>0.7955208436156436</v>
      </c>
      <c r="O16" s="213">
        <f t="shared" si="2"/>
        <v>0.5966406327117327</v>
      </c>
      <c r="P16" s="214">
        <f t="shared" si="3"/>
        <v>4.574244850789951</v>
      </c>
      <c r="Q16" s="209"/>
      <c r="R16" s="213">
        <f>(F16*1.2*units!$B$36+G16*1.2*units!$D$36+H16*1.2*units!$E$36)+(F16*1.2*units!$B$32+G16*1.2*units!$D$32+H16*1.2*units!$E$32)+(units!$B$4*(F16*1.2*units!$B$24+G16*1.2*units!$D$24+H16*1.2*units!$E$24))</f>
        <v>1.0567100307692308</v>
      </c>
      <c r="S16" s="213">
        <f>units!$F$9*(((F16*1.2/units!$B$20)*60)+((G16*1.2/units!$D$20)*60)+((H16*1.2/units!$E$20)*60))/60</f>
        <v>0.2861111111111111</v>
      </c>
      <c r="T16" s="213">
        <f>units!$H$9*(((F16*1.2/units!$B$20)*60)+((G16*1.2/units!$D$20)*60)+((H16*1.2/units!$E$20)*60))/60</f>
        <v>0.8080808080808081</v>
      </c>
      <c r="U16" s="213">
        <f t="shared" si="4"/>
        <v>0.5377254874902875</v>
      </c>
      <c r="V16" s="213">
        <f t="shared" si="5"/>
        <v>0.40329411561771555</v>
      </c>
      <c r="W16" s="214">
        <f t="shared" si="6"/>
        <v>3.091921553069153</v>
      </c>
      <c r="X16" s="209"/>
      <c r="Y16" s="213">
        <f>(units!$B$4*(units!$B$25*F16*1.2+units!$D$25*G16*1.2+units!$E$25*H16*1.2)+(F16*1.2*units!$B$33+G16*1.2*units!$D$33+H16*1.2*units!$E$33)+(F16*1.2*units!$B$37+G16*1.2*units!$D$37+H16*1.2*units!$E$37))</f>
        <v>0.45588856783216786</v>
      </c>
      <c r="Z16" s="213">
        <f>units!$F$10*(((F16*1.2/units!$B$21)*60)+((G16*1.2/units!$D$21)*60)+((H16*1.2/units!$E$21)*60))/60</f>
        <v>0.05466200466200467</v>
      </c>
      <c r="AA16" s="213">
        <f>units!$H$10*(((F16*1.2/units!$B$21)*60)+((G16*1.2/units!$D$21)*60)+((H16*1.2/units!$E$21)*60))/60</f>
        <v>0.5509641873278236</v>
      </c>
      <c r="AB16" s="213">
        <f t="shared" si="7"/>
        <v>0.26537868995549907</v>
      </c>
      <c r="AC16" s="213">
        <f t="shared" si="8"/>
        <v>0.1990340174666243</v>
      </c>
      <c r="AD16" s="214">
        <f t="shared" si="9"/>
        <v>1.5259274672441197</v>
      </c>
      <c r="AE16" s="217"/>
      <c r="AF16" s="214">
        <f>IF(E16=units!$N$8,P16,"")</f>
        <v>4.574244850789951</v>
      </c>
      <c r="AG16" s="214">
        <f>IF(E16=units!$M$8,W16,"")</f>
      </c>
      <c r="AH16" s="214">
        <f>IF(E16=units!$L$8,AD16,"")</f>
      </c>
      <c r="AI16" s="214">
        <f t="shared" si="10"/>
        <v>4.574244850789951</v>
      </c>
      <c r="AJ16" s="181">
        <v>2</v>
      </c>
      <c r="AK16" s="255">
        <f t="shared" si="11"/>
        <v>9.148489701579901</v>
      </c>
      <c r="AL16" s="256">
        <f t="shared" si="12"/>
        <v>1600.9856977764828</v>
      </c>
      <c r="AM16" s="144"/>
      <c r="AN16" s="243"/>
      <c r="AO16" s="241"/>
    </row>
    <row r="17" spans="1:41" s="130" customFormat="1" ht="15">
      <c r="A17" s="294">
        <v>8</v>
      </c>
      <c r="B17" s="201" t="s">
        <v>237</v>
      </c>
      <c r="C17" s="202">
        <v>23</v>
      </c>
      <c r="D17" s="201" t="s">
        <v>208</v>
      </c>
      <c r="E17" s="203" t="str">
        <f>IF(ISNUMBER(C17),IF(C17&lt;=units!$L$7,units!$L$8,IF(C17&lt;=units!$N$7,units!$M$8,IF(C17&gt;units!$O$8,"OXI",units!$N$8))),"--")</f>
        <v>BUS</v>
      </c>
      <c r="F17" s="210">
        <v>0</v>
      </c>
      <c r="G17" s="211">
        <v>0</v>
      </c>
      <c r="H17" s="212">
        <v>3</v>
      </c>
      <c r="I17" s="218">
        <f t="shared" si="0"/>
        <v>3</v>
      </c>
      <c r="J17" s="279"/>
      <c r="K17" s="276">
        <f>(units!$B$4*(F17*1.2*units!$B$23+G17*1.2*units!$D$23+H17*1.2*units!$E$23))+(F17*1.2*units!$B$31+G17*1.2*units!$D$31+H17*1.2*units!$E$31)+(F17*1.2*units!$B$35+G17*1.2*units!$D$35+H17*1.2*units!$E$35)</f>
        <v>4.595209556043956</v>
      </c>
      <c r="L17" s="213">
        <f>units!$F$8*((F17*1.2/units!$B$19)*60+((G17*1.2/units!$D$19)*60)+((H17*1.2/units!$E$19)*60))/60</f>
        <v>0.8326923076923077</v>
      </c>
      <c r="M17" s="213">
        <f>units!$H$8*((F17*1.2/units!$B$19)*60+((G17*1.2/units!$D$19)*60)+((H17*1.2/units!$E$19)*60))/60</f>
        <v>1.5584415584415583</v>
      </c>
      <c r="N17" s="213">
        <f t="shared" si="1"/>
        <v>1.7465858555444556</v>
      </c>
      <c r="O17" s="213">
        <f t="shared" si="2"/>
        <v>1.3099393916583415</v>
      </c>
      <c r="P17" s="214">
        <f t="shared" si="3"/>
        <v>10.042868669380619</v>
      </c>
      <c r="Q17" s="215"/>
      <c r="R17" s="213">
        <f>(F17*1.2*units!$B$36+G17*1.2*units!$D$36+H17*1.2*units!$E$36)+(F17*1.2*units!$B$32+G17*1.2*units!$D$32+H17*1.2*units!$E$32)+(units!$B$4*(F17*1.2*units!$B$24+G17*1.2*units!$D$24+H17*1.2*units!$E$24))</f>
        <v>2.0280551736263734</v>
      </c>
      <c r="S17" s="213">
        <f>units!$F$9*(((F17*1.2/units!$B$20)*60)+((G17*1.2/units!$D$20)*60)+((H17*1.2/units!$E$20)*60))/60</f>
        <v>0.5517857142857142</v>
      </c>
      <c r="T17" s="213">
        <f>units!$H$9*(((F17*1.2/units!$B$20)*60)+((G17*1.2/units!$D$20)*60)+((H17*1.2/units!$E$20)*60))/60</f>
        <v>1.5584415584415583</v>
      </c>
      <c r="U17" s="213">
        <f t="shared" si="4"/>
        <v>1.0345706115884115</v>
      </c>
      <c r="V17" s="213">
        <f t="shared" si="5"/>
        <v>0.7759279586913086</v>
      </c>
      <c r="W17" s="216">
        <f t="shared" si="6"/>
        <v>5.948781016633366</v>
      </c>
      <c r="X17" s="215"/>
      <c r="Y17" s="213">
        <f>(units!$B$4*(units!$B$25*F17*1.2+units!$D$25*G17*1.2+units!$E$25*H17*1.2)+(F17*1.2*units!$B$33+G17*1.2*units!$D$33+H17*1.2*units!$E$33)+(F17*1.2*units!$B$37+G17*1.2*units!$D$37+H17*1.2*units!$E$37))</f>
        <v>0.7996205076923076</v>
      </c>
      <c r="Z17" s="213">
        <f>units!$F$10*(((F17*1.2/units!$B$21)*60)+((G17*1.2/units!$D$21)*60)+((H17*1.2/units!$E$21)*60))/60</f>
        <v>0.10021367521367522</v>
      </c>
      <c r="AA17" s="213">
        <f>units!$H$10*(((F17*1.2/units!$B$21)*60)+((G17*1.2/units!$D$21)*60)+((H17*1.2/units!$E$21)*60))/60</f>
        <v>1.01010101010101</v>
      </c>
      <c r="AB17" s="213">
        <f t="shared" si="7"/>
        <v>0.4774837982517482</v>
      </c>
      <c r="AC17" s="213">
        <f t="shared" si="8"/>
        <v>0.35811284868881116</v>
      </c>
      <c r="AD17" s="214">
        <f t="shared" si="9"/>
        <v>2.745531839947552</v>
      </c>
      <c r="AE17" s="148"/>
      <c r="AF17" s="214">
        <f>IF(E17=units!$N$8,P17,"")</f>
        <v>10.042868669380619</v>
      </c>
      <c r="AG17" s="214">
        <f>IF(E17=units!$M$8,W17,"")</f>
      </c>
      <c r="AH17" s="214">
        <f>IF(E17=units!$L$8,AD17,"")</f>
      </c>
      <c r="AI17" s="214">
        <f t="shared" si="10"/>
        <v>10.042868669380619</v>
      </c>
      <c r="AJ17" s="181">
        <v>2</v>
      </c>
      <c r="AK17" s="255">
        <f t="shared" si="11"/>
        <v>20.085737338761238</v>
      </c>
      <c r="AL17" s="256">
        <f t="shared" si="12"/>
        <v>3515.0040342832167</v>
      </c>
      <c r="AM17" s="241"/>
      <c r="AN17" s="240"/>
      <c r="AO17" s="241"/>
    </row>
    <row r="18" spans="1:41" s="130" customFormat="1" ht="15">
      <c r="A18" s="294">
        <v>9</v>
      </c>
      <c r="B18" s="201" t="s">
        <v>102</v>
      </c>
      <c r="C18" s="202">
        <v>5</v>
      </c>
      <c r="D18" s="201" t="s">
        <v>116</v>
      </c>
      <c r="E18" s="203" t="str">
        <f>IF(ISNUMBER(C18),IF(C18&lt;=units!$L$7,units!$L$8,IF(C18&lt;=units!$N$7,units!$M$8,IF(C18&gt;units!$O$8,"OXI",units!$N$8))),"--")</f>
        <v>TAXI</v>
      </c>
      <c r="F18" s="210">
        <v>0</v>
      </c>
      <c r="G18" s="211">
        <v>4</v>
      </c>
      <c r="H18" s="212">
        <v>0</v>
      </c>
      <c r="I18" s="218">
        <f t="shared" si="0"/>
        <v>4</v>
      </c>
      <c r="J18" s="279"/>
      <c r="K18" s="276">
        <f>(units!$B$4*(F18*1.2*units!$B$23+G18*1.2*units!$D$23+H18*1.2*units!$E$23))+(F18*1.2*units!$B$31+G18*1.2*units!$D$31+H18*1.2*units!$E$31)+(F18*1.2*units!$B$35+G18*1.2*units!$D$35+H18*1.2*units!$E$35)</f>
        <v>3.884472369230769</v>
      </c>
      <c r="L18" s="213">
        <f>units!$F$8*((F18*1.2/units!$B$19)*60+((G18*1.2/units!$D$19)*60)+((H18*1.2/units!$E$19)*60))/60</f>
        <v>0.8635327635327635</v>
      </c>
      <c r="M18" s="213">
        <f>units!$H$8*((F18*1.2/units!$B$19)*60+((G18*1.2/units!$D$19)*60)+((H18*1.2/units!$E$19)*60))/60</f>
        <v>1.6161616161616161</v>
      </c>
      <c r="N18" s="213">
        <f t="shared" si="1"/>
        <v>1.5910416872312871</v>
      </c>
      <c r="O18" s="213">
        <f t="shared" si="2"/>
        <v>1.1932812654234655</v>
      </c>
      <c r="P18" s="214">
        <f t="shared" si="3"/>
        <v>9.148489701579901</v>
      </c>
      <c r="Q18" s="209"/>
      <c r="R18" s="213">
        <f>(F18*1.2*units!$B$36+G18*1.2*units!$D$36+H18*1.2*units!$E$36)+(F18*1.2*units!$B$32+G18*1.2*units!$D$32+H18*1.2*units!$E$32)+(units!$B$4*(F18*1.2*units!$B$24+G18*1.2*units!$D$24+H18*1.2*units!$E$24))</f>
        <v>2.1134200615384615</v>
      </c>
      <c r="S18" s="213">
        <f>units!$F$9*(((F18*1.2/units!$B$20)*60)+((G18*1.2/units!$D$20)*60)+((H18*1.2/units!$E$20)*60))/60</f>
        <v>0.5722222222222222</v>
      </c>
      <c r="T18" s="213">
        <f>units!$H$9*(((F18*1.2/units!$B$20)*60)+((G18*1.2/units!$D$20)*60)+((H18*1.2/units!$E$20)*60))/60</f>
        <v>1.6161616161616161</v>
      </c>
      <c r="U18" s="213">
        <f t="shared" si="4"/>
        <v>1.075450974980575</v>
      </c>
      <c r="V18" s="213">
        <f t="shared" si="5"/>
        <v>0.8065882312354311</v>
      </c>
      <c r="W18" s="214">
        <f t="shared" si="6"/>
        <v>6.183843106138306</v>
      </c>
      <c r="X18" s="209"/>
      <c r="Y18" s="213">
        <f>(units!$B$4*(units!$B$25*F18*1.2+units!$D$25*G18*1.2+units!$E$25*H18*1.2)+(F18*1.2*units!$B$33+G18*1.2*units!$D$33+H18*1.2*units!$E$33)+(F18*1.2*units!$B$37+G18*1.2*units!$D$37+H18*1.2*units!$E$37))</f>
        <v>0.9117771356643357</v>
      </c>
      <c r="Z18" s="213">
        <f>units!$F$10*(((F18*1.2/units!$B$21)*60)+((G18*1.2/units!$D$21)*60)+((H18*1.2/units!$E$21)*60))/60</f>
        <v>0.10932400932400935</v>
      </c>
      <c r="AA18" s="213">
        <f>units!$H$10*(((F18*1.2/units!$B$21)*60)+((G18*1.2/units!$D$21)*60)+((H18*1.2/units!$E$21)*60))/60</f>
        <v>1.1019283746556472</v>
      </c>
      <c r="AB18" s="213">
        <f t="shared" si="7"/>
        <v>0.5307573799109981</v>
      </c>
      <c r="AC18" s="213">
        <f t="shared" si="8"/>
        <v>0.3980680349332486</v>
      </c>
      <c r="AD18" s="214">
        <f t="shared" si="9"/>
        <v>3.0518549344882393</v>
      </c>
      <c r="AE18" s="217"/>
      <c r="AF18" s="214">
        <f>IF(E18=units!$N$8,P18,"")</f>
      </c>
      <c r="AG18" s="214">
        <f>IF(E18=units!$M$8,W18,"")</f>
      </c>
      <c r="AH18" s="214">
        <f>IF(E18=units!$L$8,AD18,"")</f>
        <v>3.0518549344882393</v>
      </c>
      <c r="AI18" s="214">
        <f t="shared" si="10"/>
        <v>3.0518549344882393</v>
      </c>
      <c r="AJ18" s="181">
        <v>4</v>
      </c>
      <c r="AK18" s="255">
        <f t="shared" si="11"/>
        <v>12.207419737952957</v>
      </c>
      <c r="AL18" s="256">
        <f t="shared" si="12"/>
        <v>2136.2984541417677</v>
      </c>
      <c r="AM18" s="241"/>
      <c r="AN18" s="242"/>
      <c r="AO18" s="241"/>
    </row>
    <row r="19" spans="1:41" s="130" customFormat="1" ht="15">
      <c r="A19" s="294">
        <v>10</v>
      </c>
      <c r="B19" s="219" t="s">
        <v>103</v>
      </c>
      <c r="C19" s="202">
        <v>2</v>
      </c>
      <c r="D19" s="201" t="s">
        <v>238</v>
      </c>
      <c r="E19" s="203" t="str">
        <f>IF(ISNUMBER(C19),IF(C19&lt;=units!$L$7,units!$L$8,IF(C19&lt;=units!$N$7,units!$M$8,IF(C19&gt;units!$O$8,"OXI",units!$N$8))),"--")</f>
        <v>TAXI</v>
      </c>
      <c r="F19" s="210">
        <v>10</v>
      </c>
      <c r="G19" s="211">
        <v>0</v>
      </c>
      <c r="H19" s="212">
        <v>0</v>
      </c>
      <c r="I19" s="218">
        <f t="shared" si="0"/>
        <v>10</v>
      </c>
      <c r="J19" s="279"/>
      <c r="K19" s="276">
        <f>(units!$B$4*(F19*1.2*units!$B$23+G19*1.2*units!$D$23+H19*1.2*units!$E$23))+(F19*1.2*units!$B$31+G19*1.2*units!$D$31+H19*1.2*units!$E$31)+(F19*1.2*units!$B$35+G19*1.2*units!$D$35+H19*1.2*units!$E$35)</f>
        <v>15.541754769230769</v>
      </c>
      <c r="L19" s="213">
        <f>units!$F$8*((F19*1.2/units!$B$19)*60+((G19*1.2/units!$D$19)*60)+((H19*1.2/units!$E$19)*60))/60</f>
        <v>6.4764957264957275</v>
      </c>
      <c r="M19" s="213">
        <f>units!$H$8*((F19*1.2/units!$B$19)*60+((G19*1.2/units!$D$19)*60)+((H19*1.2/units!$E$19)*60))/60</f>
        <v>12.121212121212121</v>
      </c>
      <c r="N19" s="213">
        <f t="shared" si="1"/>
        <v>8.534865654234654</v>
      </c>
      <c r="O19" s="213">
        <f t="shared" si="2"/>
        <v>6.40114924067599</v>
      </c>
      <c r="P19" s="214">
        <f t="shared" si="3"/>
        <v>49.07547751184926</v>
      </c>
      <c r="Q19" s="215"/>
      <c r="R19" s="213">
        <f>(F19*1.2*units!$B$36+G19*1.2*units!$D$36+H19*1.2*units!$E$36)+(F19*1.2*units!$B$32+G19*1.2*units!$D$32+H19*1.2*units!$E$32)+(units!$B$4*(F19*1.2*units!$B$24+G19*1.2*units!$D$24+H19*1.2*units!$E$24))</f>
        <v>7.553293384615384</v>
      </c>
      <c r="S19" s="213">
        <f>units!$F$9*(((F19*1.2/units!$B$20)*60)+((G19*1.2/units!$D$20)*60)+((H19*1.2/units!$E$20)*60))/60</f>
        <v>3.5763888888888884</v>
      </c>
      <c r="T19" s="213">
        <f>units!$H$9*(((F19*1.2/units!$B$20)*60)+((G19*1.2/units!$D$20)*60)+((H19*1.2/units!$E$20)*60))/60</f>
        <v>10.101010101010102</v>
      </c>
      <c r="U19" s="213">
        <f t="shared" si="4"/>
        <v>5.307673093628594</v>
      </c>
      <c r="V19" s="213">
        <f t="shared" si="5"/>
        <v>3.9807548202214456</v>
      </c>
      <c r="W19" s="216">
        <f t="shared" si="6"/>
        <v>30.519120288364416</v>
      </c>
      <c r="X19" s="215"/>
      <c r="Y19" s="213">
        <f>(units!$B$4*(units!$B$25*F19*1.2+units!$D$25*G19*1.2+units!$E$25*H19*1.2)+(F19*1.2*units!$B$33+G19*1.2*units!$D$33+H19*1.2*units!$E$33)+(F19*1.2*units!$B$37+G19*1.2*units!$D$37+H19*1.2*units!$E$37))</f>
        <v>2.5965925384615383</v>
      </c>
      <c r="Z19" s="213">
        <f>units!$F$10*(((F19*1.2/units!$B$21)*60)+((G19*1.2/units!$D$21)*60)+((H19*1.2/units!$E$21)*60))/60</f>
        <v>0.5010683760683762</v>
      </c>
      <c r="AA19" s="213">
        <f>units!$H$10*(((F19*1.2/units!$B$21)*60)+((G19*1.2/units!$D$21)*60)+((H19*1.2/units!$E$21)*60))/60</f>
        <v>5.05050505050505</v>
      </c>
      <c r="AB19" s="213">
        <f t="shared" si="7"/>
        <v>2.037041491258741</v>
      </c>
      <c r="AC19" s="213">
        <f t="shared" si="8"/>
        <v>1.5277811184440557</v>
      </c>
      <c r="AD19" s="214">
        <f t="shared" si="9"/>
        <v>11.71298857473776</v>
      </c>
      <c r="AE19" s="148"/>
      <c r="AF19" s="214">
        <f>IF(E19=units!$N$8,P19,"")</f>
      </c>
      <c r="AG19" s="214">
        <f>IF(E19=units!$M$8,W19,"")</f>
      </c>
      <c r="AH19" s="214">
        <f>IF(E19=units!$L$8,AD19,"")</f>
        <v>11.71298857473776</v>
      </c>
      <c r="AI19" s="214">
        <f t="shared" si="10"/>
        <v>11.71298857473776</v>
      </c>
      <c r="AJ19" s="181">
        <v>2</v>
      </c>
      <c r="AK19" s="255">
        <f t="shared" si="11"/>
        <v>23.42597714947552</v>
      </c>
      <c r="AL19" s="256">
        <f t="shared" si="12"/>
        <v>4099.546001158216</v>
      </c>
      <c r="AM19" s="241"/>
      <c r="AN19" s="242"/>
      <c r="AO19" s="241"/>
    </row>
    <row r="20" spans="1:41" s="130" customFormat="1" ht="105">
      <c r="A20" s="294">
        <v>11</v>
      </c>
      <c r="B20" s="220" t="s">
        <v>104</v>
      </c>
      <c r="C20" s="202">
        <v>54</v>
      </c>
      <c r="D20" s="219" t="s">
        <v>117</v>
      </c>
      <c r="E20" s="203" t="str">
        <f>IF(ISNUMBER(C20),IF(C20&lt;=units!$L$7,units!$L$8,IF(C20&lt;=units!$N$7,units!$M$8,IF(C20&gt;units!$O$8,"OXI",units!$N$8))),"--")</f>
        <v>BUS</v>
      </c>
      <c r="F20" s="221">
        <v>0</v>
      </c>
      <c r="G20" s="222">
        <v>0</v>
      </c>
      <c r="H20" s="223">
        <v>10</v>
      </c>
      <c r="I20" s="296">
        <f t="shared" si="0"/>
        <v>10</v>
      </c>
      <c r="J20" s="281"/>
      <c r="K20" s="276">
        <f>(units!$B$4*(F20*1.2*units!$B$23+G20*1.2*units!$D$23+H20*1.2*units!$E$23))+(F20*1.2*units!$B$31+G20*1.2*units!$D$31+H20*1.2*units!$E$31)+(F20*1.2*units!$B$35+G20*1.2*units!$D$35+H20*1.2*units!$E$35)</f>
        <v>15.317365186813188</v>
      </c>
      <c r="L20" s="213">
        <f>units!$F$8*((F20*1.2/units!$B$19)*60+((G20*1.2/units!$D$19)*60)+((H20*1.2/units!$E$19)*60))/60</f>
        <v>2.7756410256410264</v>
      </c>
      <c r="M20" s="213">
        <f>units!$H$8*((F20*1.2/units!$B$19)*60+((G20*1.2/units!$D$19)*60)+((H20*1.2/units!$E$19)*60))/60</f>
        <v>5.194805194805196</v>
      </c>
      <c r="N20" s="213">
        <f t="shared" si="1"/>
        <v>5.821952851814852</v>
      </c>
      <c r="O20" s="213">
        <f t="shared" si="2"/>
        <v>4.366464638861139</v>
      </c>
      <c r="P20" s="214">
        <f t="shared" si="3"/>
        <v>33.4762288979354</v>
      </c>
      <c r="Q20" s="209"/>
      <c r="R20" s="213">
        <f>(F20*1.2*units!$B$36+G20*1.2*units!$D$36+H20*1.2*units!$E$36)+(F20*1.2*units!$B$32+G20*1.2*units!$D$32+H20*1.2*units!$E$32)+(units!$B$4*(F20*1.2*units!$B$24+G20*1.2*units!$D$24+H20*1.2*units!$E$24))</f>
        <v>6.760183912087912</v>
      </c>
      <c r="S20" s="213">
        <f>units!$F$9*(((F20*1.2/units!$B$20)*60)+((G20*1.2/units!$D$20)*60)+((H20*1.2/units!$E$20)*60))/60</f>
        <v>1.8392857142857144</v>
      </c>
      <c r="T20" s="213">
        <f>units!$H$9*(((F20*1.2/units!$B$20)*60)+((G20*1.2/units!$D$20)*60)+((H20*1.2/units!$E$20)*60))/60</f>
        <v>5.194805194805196</v>
      </c>
      <c r="U20" s="213">
        <f t="shared" si="4"/>
        <v>3.448568705294705</v>
      </c>
      <c r="V20" s="213">
        <f t="shared" si="5"/>
        <v>2.5864265289710286</v>
      </c>
      <c r="W20" s="214">
        <f t="shared" si="6"/>
        <v>19.829270055444553</v>
      </c>
      <c r="X20" s="209"/>
      <c r="Y20" s="213">
        <f>(units!$B$4*(units!$B$25*F20*1.2+units!$D$25*G20*1.2+units!$E$25*H20*1.2)+(F20*1.2*units!$B$33+G20*1.2*units!$D$33+H20*1.2*units!$E$33)+(F20*1.2*units!$B$37+G20*1.2*units!$D$37+H20*1.2*units!$E$37))</f>
        <v>2.665401692307692</v>
      </c>
      <c r="Z20" s="213">
        <f>units!$F$10*(((F20*1.2/units!$B$21)*60)+((G20*1.2/units!$D$21)*60)+((H20*1.2/units!$E$21)*60))/60</f>
        <v>0.3340455840455841</v>
      </c>
      <c r="AA20" s="213">
        <f>units!$H$10*(((F20*1.2/units!$B$21)*60)+((G20*1.2/units!$D$21)*60)+((H20*1.2/units!$E$21)*60))/60</f>
        <v>3.367003367003367</v>
      </c>
      <c r="AB20" s="213">
        <f t="shared" si="7"/>
        <v>1.5916126608391608</v>
      </c>
      <c r="AC20" s="213">
        <f t="shared" si="8"/>
        <v>1.1937094956293706</v>
      </c>
      <c r="AD20" s="214">
        <f t="shared" si="9"/>
        <v>9.151772799825174</v>
      </c>
      <c r="AE20" s="224"/>
      <c r="AF20" s="214">
        <f>IF(E20=units!$N$8,P20,"")</f>
        <v>33.4762288979354</v>
      </c>
      <c r="AG20" s="214">
        <f>IF(E20=units!$M$8,W20,"")</f>
      </c>
      <c r="AH20" s="214">
        <f>IF(E20=units!$L$8,AD20,"")</f>
      </c>
      <c r="AI20" s="214">
        <f t="shared" si="10"/>
        <v>33.4762288979354</v>
      </c>
      <c r="AJ20" s="225">
        <v>2</v>
      </c>
      <c r="AK20" s="257">
        <f t="shared" si="11"/>
        <v>66.9524577958708</v>
      </c>
      <c r="AL20" s="256">
        <f t="shared" si="12"/>
        <v>11716.68011427739</v>
      </c>
      <c r="AM20" s="244"/>
      <c r="AN20" s="245"/>
      <c r="AO20" s="241"/>
    </row>
    <row r="21" spans="1:41" s="130" customFormat="1" ht="30">
      <c r="A21" s="294">
        <v>12</v>
      </c>
      <c r="B21" s="201" t="s">
        <v>239</v>
      </c>
      <c r="C21" s="202">
        <v>35</v>
      </c>
      <c r="D21" s="219" t="s">
        <v>221</v>
      </c>
      <c r="E21" s="203" t="str">
        <f>IF(ISNUMBER(C21),IF(C21&lt;=units!$L$7,units!$L$8,IF(C21&lt;=units!$N$7,units!$M$8,IF(C21&gt;units!$O$8,"OXI",units!$N$8))),"--")</f>
        <v>BUS</v>
      </c>
      <c r="F21" s="210">
        <v>0</v>
      </c>
      <c r="G21" s="211">
        <v>0</v>
      </c>
      <c r="H21" s="212">
        <v>14</v>
      </c>
      <c r="I21" s="218">
        <f t="shared" si="0"/>
        <v>14</v>
      </c>
      <c r="J21" s="279"/>
      <c r="K21" s="276">
        <f>(units!$B$4*(F21*1.2*units!$B$23+G21*1.2*units!$D$23+H21*1.2*units!$E$23))+(F21*1.2*units!$B$31+G21*1.2*units!$D$31+H21*1.2*units!$E$31)+(F21*1.2*units!$B$35+G21*1.2*units!$D$35+H21*1.2*units!$E$35)</f>
        <v>21.44431126153846</v>
      </c>
      <c r="L21" s="213">
        <f>units!$F$8*((F21*1.2/units!$B$19)*60+((G21*1.2/units!$D$19)*60)+((H21*1.2/units!$E$19)*60))/60</f>
        <v>3.8858974358974363</v>
      </c>
      <c r="M21" s="213">
        <f>units!$H$8*((F21*1.2/units!$B$19)*60+((G21*1.2/units!$D$19)*60)+((H21*1.2/units!$E$19)*60))/60</f>
        <v>7.2727272727272725</v>
      </c>
      <c r="N21" s="213">
        <f t="shared" si="1"/>
        <v>8.150733992540792</v>
      </c>
      <c r="O21" s="213">
        <f t="shared" si="2"/>
        <v>6.113050494405594</v>
      </c>
      <c r="P21" s="214">
        <f t="shared" si="3"/>
        <v>46.86672045710955</v>
      </c>
      <c r="Q21" s="215"/>
      <c r="R21" s="213">
        <f>(F21*1.2*units!$B$36+G21*1.2*units!$D$36+H21*1.2*units!$E$36)+(F21*1.2*units!$B$32+G21*1.2*units!$D$32+H21*1.2*units!$E$32)+(units!$B$4*(F21*1.2*units!$B$24+G21*1.2*units!$D$24+H21*1.2*units!$E$24))</f>
        <v>9.464257476923077</v>
      </c>
      <c r="S21" s="213">
        <f>units!$F$9*(((F21*1.2/units!$B$20)*60)+((G21*1.2/units!$D$20)*60)+((H21*1.2/units!$E$20)*60))/60</f>
        <v>2.575</v>
      </c>
      <c r="T21" s="213">
        <f>units!$H$9*(((F21*1.2/units!$B$20)*60)+((G21*1.2/units!$D$20)*60)+((H21*1.2/units!$E$20)*60))/60</f>
        <v>7.2727272727272725</v>
      </c>
      <c r="U21" s="213">
        <f t="shared" si="4"/>
        <v>4.827996187412587</v>
      </c>
      <c r="V21" s="213">
        <f t="shared" si="5"/>
        <v>3.6209971405594406</v>
      </c>
      <c r="W21" s="216">
        <f t="shared" si="6"/>
        <v>27.760978077622376</v>
      </c>
      <c r="X21" s="215"/>
      <c r="Y21" s="213">
        <f>(units!$B$4*(units!$B$25*F21*1.2+units!$D$25*G21*1.2+units!$E$25*H21*1.2)+(F21*1.2*units!$B$33+G21*1.2*units!$D$33+H21*1.2*units!$E$33)+(F21*1.2*units!$B$37+G21*1.2*units!$D$37+H21*1.2*units!$E$37))</f>
        <v>3.731562369230769</v>
      </c>
      <c r="Z21" s="213">
        <f>units!$F$10*(((F21*1.2/units!$B$21)*60)+((G21*1.2/units!$D$21)*60)+((H21*1.2/units!$E$21)*60))/60</f>
        <v>0.46766381766381776</v>
      </c>
      <c r="AA21" s="213">
        <f>units!$H$10*(((F21*1.2/units!$B$21)*60)+((G21*1.2/units!$D$21)*60)+((H21*1.2/units!$E$21)*60))/60</f>
        <v>4.7138047138047146</v>
      </c>
      <c r="AB21" s="213">
        <f t="shared" si="7"/>
        <v>2.2282577251748252</v>
      </c>
      <c r="AC21" s="213">
        <f t="shared" si="8"/>
        <v>1.6711932938811187</v>
      </c>
      <c r="AD21" s="214">
        <f t="shared" si="9"/>
        <v>12.812481919755244</v>
      </c>
      <c r="AE21" s="148"/>
      <c r="AF21" s="214">
        <f>IF(E21=units!$N$8,P21,"")</f>
        <v>46.86672045710955</v>
      </c>
      <c r="AG21" s="214">
        <f>IF(E21=units!$M$8,W21,"")</f>
      </c>
      <c r="AH21" s="214">
        <f>IF(E21=units!$L$8,AD21,"")</f>
      </c>
      <c r="AI21" s="214">
        <f t="shared" si="10"/>
        <v>46.86672045710955</v>
      </c>
      <c r="AJ21" s="181">
        <v>2</v>
      </c>
      <c r="AK21" s="255">
        <f t="shared" si="11"/>
        <v>93.7334409142191</v>
      </c>
      <c r="AL21" s="256">
        <f t="shared" si="12"/>
        <v>16403.352159988342</v>
      </c>
      <c r="AM21" s="241"/>
      <c r="AN21" s="240"/>
      <c r="AO21" s="241"/>
    </row>
    <row r="22" spans="1:41" s="130" customFormat="1" ht="15">
      <c r="A22" s="294">
        <v>13</v>
      </c>
      <c r="B22" s="201" t="s">
        <v>105</v>
      </c>
      <c r="C22" s="202">
        <v>4</v>
      </c>
      <c r="D22" s="219" t="s">
        <v>118</v>
      </c>
      <c r="E22" s="203" t="str">
        <f>IF(ISNUMBER(C22),IF(C22&lt;=units!$L$7,units!$L$8,IF(C22&lt;=units!$N$7,units!$M$8,IF(C22&gt;units!$O$8,"OXI",units!$N$8))),"--")</f>
        <v>TAXI</v>
      </c>
      <c r="F22" s="210">
        <v>0</v>
      </c>
      <c r="G22" s="211">
        <v>0</v>
      </c>
      <c r="H22" s="212">
        <v>4.5</v>
      </c>
      <c r="I22" s="218">
        <f t="shared" si="0"/>
        <v>4.5</v>
      </c>
      <c r="J22" s="279"/>
      <c r="K22" s="276">
        <f>(units!$B$4*(F22*1.2*units!$B$23+G22*1.2*units!$D$23+H22*1.2*units!$E$23))+(F22*1.2*units!$B$31+G22*1.2*units!$D$31+H22*1.2*units!$E$31)+(F22*1.2*units!$B$35+G22*1.2*units!$D$35+H22*1.2*units!$E$35)</f>
        <v>6.892814334065934</v>
      </c>
      <c r="L22" s="213">
        <f>units!$F$8*((F22*1.2/units!$B$19)*60+((G22*1.2/units!$D$19)*60)+((H22*1.2/units!$E$19)*60))/60</f>
        <v>1.2490384615384615</v>
      </c>
      <c r="M22" s="213">
        <f>units!$H$8*((F22*1.2/units!$B$19)*60+((G22*1.2/units!$D$19)*60)+((H22*1.2/units!$E$19)*60))/60</f>
        <v>2.3376623376623376</v>
      </c>
      <c r="N22" s="213">
        <f t="shared" si="1"/>
        <v>2.619878783316683</v>
      </c>
      <c r="O22" s="213">
        <f t="shared" si="2"/>
        <v>1.9649090874875121</v>
      </c>
      <c r="P22" s="214">
        <f t="shared" si="3"/>
        <v>15.064303004070927</v>
      </c>
      <c r="Q22" s="209"/>
      <c r="R22" s="213">
        <f>(F22*1.2*units!$B$36+G22*1.2*units!$D$36+H22*1.2*units!$E$36)+(F22*1.2*units!$B$32+G22*1.2*units!$D$32+H22*1.2*units!$E$32)+(units!$B$4*(F22*1.2*units!$B$24+G22*1.2*units!$D$24+H22*1.2*units!$E$24))</f>
        <v>3.04208276043956</v>
      </c>
      <c r="S22" s="213">
        <f>units!$F$9*(((F22*1.2/units!$B$20)*60)+((G22*1.2/units!$D$20)*60)+((H22*1.2/units!$E$20)*60))/60</f>
        <v>0.8276785714285713</v>
      </c>
      <c r="T22" s="213">
        <f>units!$H$9*(((F22*1.2/units!$B$20)*60)+((G22*1.2/units!$D$20)*60)+((H22*1.2/units!$E$20)*60))/60</f>
        <v>2.3376623376623376</v>
      </c>
      <c r="U22" s="213">
        <f t="shared" si="4"/>
        <v>1.5518559173826172</v>
      </c>
      <c r="V22" s="213">
        <f t="shared" si="5"/>
        <v>1.163891938036963</v>
      </c>
      <c r="W22" s="214">
        <f t="shared" si="6"/>
        <v>8.92317152495005</v>
      </c>
      <c r="X22" s="209"/>
      <c r="Y22" s="213">
        <f>(units!$B$4*(units!$B$25*F22*1.2+units!$D$25*G22*1.2+units!$E$25*H22*1.2)+(F22*1.2*units!$B$33+G22*1.2*units!$D$33+H22*1.2*units!$E$33)+(F22*1.2*units!$B$37+G22*1.2*units!$D$37+H22*1.2*units!$E$37))</f>
        <v>1.1994307615384614</v>
      </c>
      <c r="Z22" s="213">
        <f>units!$F$10*(((F22*1.2/units!$B$21)*60)+((G22*1.2/units!$D$21)*60)+((H22*1.2/units!$E$21)*60))/60</f>
        <v>0.15032051282051284</v>
      </c>
      <c r="AA22" s="213">
        <f>units!$H$10*(((F22*1.2/units!$B$21)*60)+((G22*1.2/units!$D$21)*60)+((H22*1.2/units!$E$21)*60))/60</f>
        <v>1.5151515151515151</v>
      </c>
      <c r="AB22" s="213">
        <f t="shared" si="7"/>
        <v>0.7162256973776223</v>
      </c>
      <c r="AC22" s="213">
        <f t="shared" si="8"/>
        <v>0.5371692730332167</v>
      </c>
      <c r="AD22" s="214">
        <f t="shared" si="9"/>
        <v>4.118297759921329</v>
      </c>
      <c r="AE22" s="217"/>
      <c r="AF22" s="214">
        <f>IF(E22=units!$N$8,P22,"")</f>
      </c>
      <c r="AG22" s="214">
        <f>IF(E22=units!$M$8,W22,"")</f>
      </c>
      <c r="AH22" s="214">
        <f>IF(E22=units!$L$8,AD22,"")</f>
        <v>4.118297759921329</v>
      </c>
      <c r="AI22" s="214">
        <f t="shared" si="10"/>
        <v>4.118297759921329</v>
      </c>
      <c r="AJ22" s="181">
        <v>2</v>
      </c>
      <c r="AK22" s="255">
        <f t="shared" si="11"/>
        <v>8.236595519842657</v>
      </c>
      <c r="AL22" s="256">
        <f t="shared" si="12"/>
        <v>1441.404215972465</v>
      </c>
      <c r="AM22" s="241"/>
      <c r="AN22" s="246"/>
      <c r="AO22" s="241"/>
    </row>
    <row r="23" spans="1:41" s="130" customFormat="1" ht="15">
      <c r="A23" s="294">
        <v>14</v>
      </c>
      <c r="B23" s="201" t="s">
        <v>106</v>
      </c>
      <c r="C23" s="202">
        <v>1</v>
      </c>
      <c r="D23" s="219" t="s">
        <v>119</v>
      </c>
      <c r="E23" s="203" t="str">
        <f>IF(ISNUMBER(C23),IF(C23&lt;=units!$L$7,units!$L$8,IF(C23&lt;=units!$N$7,units!$M$8,IF(C23&gt;units!$O$8,"OXI",units!$N$8))),"--")</f>
        <v>TAXI</v>
      </c>
      <c r="F23" s="210">
        <v>0</v>
      </c>
      <c r="G23" s="211">
        <v>0</v>
      </c>
      <c r="H23" s="212">
        <v>8</v>
      </c>
      <c r="I23" s="218">
        <f t="shared" si="0"/>
        <v>8</v>
      </c>
      <c r="J23" s="279"/>
      <c r="K23" s="276">
        <f>(units!$B$4*(F23*1.2*units!$B$23+G23*1.2*units!$D$23+H23*1.2*units!$E$23))+(F23*1.2*units!$B$31+G23*1.2*units!$D$31+H23*1.2*units!$E$31)+(F23*1.2*units!$B$35+G23*1.2*units!$D$35+H23*1.2*units!$E$35)</f>
        <v>12.253892149450548</v>
      </c>
      <c r="L23" s="213">
        <f>units!$F$8*((F23*1.2/units!$B$19)*60+((G23*1.2/units!$D$19)*60)+((H23*1.2/units!$E$19)*60))/60</f>
        <v>2.220512820512821</v>
      </c>
      <c r="M23" s="213">
        <f>units!$H$8*((F23*1.2/units!$B$19)*60+((G23*1.2/units!$D$19)*60)+((H23*1.2/units!$E$19)*60))/60</f>
        <v>4.155844155844156</v>
      </c>
      <c r="N23" s="213">
        <f t="shared" si="1"/>
        <v>4.657562281451882</v>
      </c>
      <c r="O23" s="213">
        <f t="shared" si="2"/>
        <v>3.493171711088911</v>
      </c>
      <c r="P23" s="214">
        <f t="shared" si="3"/>
        <v>26.78098311834832</v>
      </c>
      <c r="Q23" s="215"/>
      <c r="R23" s="213">
        <f>(F23*1.2*units!$B$36+G23*1.2*units!$D$36+H23*1.2*units!$E$36)+(F23*1.2*units!$B$32+G23*1.2*units!$D$32+H23*1.2*units!$E$32)+(units!$B$4*(F23*1.2*units!$B$24+G23*1.2*units!$D$24+H23*1.2*units!$E$24))</f>
        <v>5.408147129670329</v>
      </c>
      <c r="S23" s="213">
        <f>units!$F$9*(((F23*1.2/units!$B$20)*60)+((G23*1.2/units!$D$20)*60)+((H23*1.2/units!$E$20)*60))/60</f>
        <v>1.4714285714285715</v>
      </c>
      <c r="T23" s="213">
        <f>units!$H$9*(((F23*1.2/units!$B$20)*60)+((G23*1.2/units!$D$20)*60)+((H23*1.2/units!$E$20)*60))/60</f>
        <v>4.155844155844156</v>
      </c>
      <c r="U23" s="213">
        <f t="shared" si="4"/>
        <v>2.7588549642357645</v>
      </c>
      <c r="V23" s="213">
        <f t="shared" si="5"/>
        <v>2.0691412231768234</v>
      </c>
      <c r="W23" s="216">
        <f t="shared" si="6"/>
        <v>15.863416044355645</v>
      </c>
      <c r="X23" s="215"/>
      <c r="Y23" s="213">
        <f>(units!$B$4*(units!$B$25*F23*1.2+units!$D$25*G23*1.2+units!$E$25*H23*1.2)+(F23*1.2*units!$B$33+G23*1.2*units!$D$33+H23*1.2*units!$E$33)+(F23*1.2*units!$B$37+G23*1.2*units!$D$37+H23*1.2*units!$E$37))</f>
        <v>2.1323213538461534</v>
      </c>
      <c r="Z23" s="213">
        <f>units!$F$10*(((F23*1.2/units!$B$21)*60)+((G23*1.2/units!$D$21)*60)+((H23*1.2/units!$E$21)*60))/60</f>
        <v>0.2672364672364672</v>
      </c>
      <c r="AA23" s="213">
        <f>units!$H$10*(((F23*1.2/units!$B$21)*60)+((G23*1.2/units!$D$21)*60)+((H23*1.2/units!$E$21)*60))/60</f>
        <v>2.6936026936026933</v>
      </c>
      <c r="AB23" s="213">
        <f t="shared" si="7"/>
        <v>1.2732901286713285</v>
      </c>
      <c r="AC23" s="213">
        <f t="shared" si="8"/>
        <v>0.9549675965034964</v>
      </c>
      <c r="AD23" s="214">
        <f t="shared" si="9"/>
        <v>7.321418239860139</v>
      </c>
      <c r="AE23" s="148"/>
      <c r="AF23" s="214">
        <f>IF(E23=units!$N$8,P23,"")</f>
      </c>
      <c r="AG23" s="214">
        <f>IF(E23=units!$M$8,W23,"")</f>
      </c>
      <c r="AH23" s="214">
        <f>IF(E23=units!$L$8,AD23,"")</f>
        <v>7.321418239860139</v>
      </c>
      <c r="AI23" s="214">
        <f t="shared" si="10"/>
        <v>7.321418239860139</v>
      </c>
      <c r="AJ23" s="181">
        <v>2</v>
      </c>
      <c r="AK23" s="255">
        <f t="shared" si="11"/>
        <v>14.642836479720279</v>
      </c>
      <c r="AL23" s="256">
        <f t="shared" si="12"/>
        <v>2562.4963839510488</v>
      </c>
      <c r="AM23" s="241"/>
      <c r="AN23" s="246"/>
      <c r="AO23" s="241"/>
    </row>
    <row r="24" spans="1:41" s="130" customFormat="1" ht="15">
      <c r="A24" s="294">
        <v>15</v>
      </c>
      <c r="B24" s="201" t="s">
        <v>107</v>
      </c>
      <c r="C24" s="202">
        <v>87</v>
      </c>
      <c r="D24" s="201" t="s">
        <v>120</v>
      </c>
      <c r="E24" s="203" t="str">
        <f>IF(ISNUMBER(C24),IF(C24&lt;=units!$L$7,units!$L$8,IF(C24&lt;=units!$N$7,units!$M$8,IF(C24&gt;units!$O$8,"OXI",units!$N$8))),"--")</f>
        <v>BUS</v>
      </c>
      <c r="F24" s="210">
        <v>0</v>
      </c>
      <c r="G24" s="211">
        <v>0</v>
      </c>
      <c r="H24" s="212">
        <v>3</v>
      </c>
      <c r="I24" s="218">
        <f t="shared" si="0"/>
        <v>3</v>
      </c>
      <c r="J24" s="279"/>
      <c r="K24" s="276">
        <f>(units!$B$4*(F24*1.2*units!$B$23+G24*1.2*units!$D$23+H24*1.2*units!$E$23))+(F24*1.2*units!$B$31+G24*1.2*units!$D$31+H24*1.2*units!$E$31)+(F24*1.2*units!$B$35+G24*1.2*units!$D$35+H24*1.2*units!$E$35)</f>
        <v>4.595209556043956</v>
      </c>
      <c r="L24" s="213">
        <f>units!$F$8*((F24*1.2/units!$B$19)*60+((G24*1.2/units!$D$19)*60)+((H24*1.2/units!$E$19)*60))/60</f>
        <v>0.8326923076923077</v>
      </c>
      <c r="M24" s="213">
        <f>units!$H$8*((F24*1.2/units!$B$19)*60+((G24*1.2/units!$D$19)*60)+((H24*1.2/units!$E$19)*60))/60</f>
        <v>1.5584415584415583</v>
      </c>
      <c r="N24" s="213">
        <f t="shared" si="1"/>
        <v>1.7465858555444556</v>
      </c>
      <c r="O24" s="213">
        <f t="shared" si="2"/>
        <v>1.3099393916583415</v>
      </c>
      <c r="P24" s="214">
        <f t="shared" si="3"/>
        <v>10.042868669380619</v>
      </c>
      <c r="Q24" s="209"/>
      <c r="R24" s="213">
        <f>(F24*1.2*units!$B$36+G24*1.2*units!$D$36+H24*1.2*units!$E$36)+(F24*1.2*units!$B$32+G24*1.2*units!$D$32+H24*1.2*units!$E$32)+(units!$B$4*(F24*1.2*units!$B$24+G24*1.2*units!$D$24+H24*1.2*units!$E$24))</f>
        <v>2.0280551736263734</v>
      </c>
      <c r="S24" s="213">
        <f>units!$F$9*(((F24*1.2/units!$B$20)*60)+((G24*1.2/units!$D$20)*60)+((H24*1.2/units!$E$20)*60))/60</f>
        <v>0.5517857142857142</v>
      </c>
      <c r="T24" s="213">
        <f>units!$H$9*(((F24*1.2/units!$B$20)*60)+((G24*1.2/units!$D$20)*60)+((H24*1.2/units!$E$20)*60))/60</f>
        <v>1.5584415584415583</v>
      </c>
      <c r="U24" s="213">
        <f t="shared" si="4"/>
        <v>1.0345706115884115</v>
      </c>
      <c r="V24" s="213">
        <f t="shared" si="5"/>
        <v>0.7759279586913086</v>
      </c>
      <c r="W24" s="214">
        <f t="shared" si="6"/>
        <v>5.948781016633366</v>
      </c>
      <c r="X24" s="209"/>
      <c r="Y24" s="213">
        <f>(units!$B$4*(units!$B$25*F24*1.2+units!$D$25*G24*1.2+units!$E$25*H24*1.2)+(F24*1.2*units!$B$33+G24*1.2*units!$D$33+H24*1.2*units!$E$33)+(F24*1.2*units!$B$37+G24*1.2*units!$D$37+H24*1.2*units!$E$37))</f>
        <v>0.7996205076923076</v>
      </c>
      <c r="Z24" s="213">
        <f>units!$F$10*(((F24*1.2/units!$B$21)*60)+((G24*1.2/units!$D$21)*60)+((H24*1.2/units!$E$21)*60))/60</f>
        <v>0.10021367521367522</v>
      </c>
      <c r="AA24" s="213">
        <f>units!$H$10*(((F24*1.2/units!$B$21)*60)+((G24*1.2/units!$D$21)*60)+((H24*1.2/units!$E$21)*60))/60</f>
        <v>1.01010101010101</v>
      </c>
      <c r="AB24" s="213">
        <f t="shared" si="7"/>
        <v>0.4774837982517482</v>
      </c>
      <c r="AC24" s="213">
        <f t="shared" si="8"/>
        <v>0.35811284868881116</v>
      </c>
      <c r="AD24" s="214">
        <f t="shared" si="9"/>
        <v>2.745531839947552</v>
      </c>
      <c r="AE24" s="217"/>
      <c r="AF24" s="214">
        <f>IF(E24=units!$N$8,P24,"")</f>
        <v>10.042868669380619</v>
      </c>
      <c r="AG24" s="214">
        <f>IF(E24=units!$M$8,W24,"")</f>
      </c>
      <c r="AH24" s="214">
        <f>IF(E24=units!$L$8,AD24,"")</f>
      </c>
      <c r="AI24" s="214">
        <f t="shared" si="10"/>
        <v>10.042868669380619</v>
      </c>
      <c r="AJ24" s="181">
        <v>4</v>
      </c>
      <c r="AK24" s="255">
        <f t="shared" si="11"/>
        <v>40.171474677522475</v>
      </c>
      <c r="AL24" s="256">
        <f t="shared" si="12"/>
        <v>7030.008068566433</v>
      </c>
      <c r="AM24" s="144"/>
      <c r="AN24" s="243"/>
      <c r="AO24" s="241"/>
    </row>
    <row r="25" spans="1:41" s="130" customFormat="1" ht="15">
      <c r="A25" s="294">
        <v>16</v>
      </c>
      <c r="B25" s="201" t="s">
        <v>152</v>
      </c>
      <c r="C25" s="202">
        <v>42</v>
      </c>
      <c r="D25" s="201" t="s">
        <v>145</v>
      </c>
      <c r="E25" s="203" t="str">
        <f>IF(ISNUMBER(C25),IF(C25&lt;=units!$L$7,units!$L$8,IF(C25&lt;=units!$N$7,units!$M$8,IF(C25&gt;units!$O$8,"OXI",units!$N$8))),"--")</f>
        <v>BUS</v>
      </c>
      <c r="F25" s="210">
        <v>0</v>
      </c>
      <c r="G25" s="211">
        <v>0</v>
      </c>
      <c r="H25" s="212">
        <v>5</v>
      </c>
      <c r="I25" s="218">
        <f t="shared" si="0"/>
        <v>5</v>
      </c>
      <c r="J25" s="279"/>
      <c r="K25" s="276">
        <f>(units!$B$4*(F25*1.2*units!$B$23+G25*1.2*units!$D$23+H25*1.2*units!$E$23))+(F25*1.2*units!$B$31+G25*1.2*units!$D$31+H25*1.2*units!$E$31)+(F25*1.2*units!$B$35+G25*1.2*units!$D$35+H25*1.2*units!$E$35)</f>
        <v>7.658682593406594</v>
      </c>
      <c r="L25" s="213">
        <f>units!$F$8*((F25*1.2/units!$B$19)*60+((G25*1.2/units!$D$19)*60)+((H25*1.2/units!$E$19)*60))/60</f>
        <v>1.3878205128205132</v>
      </c>
      <c r="M25" s="213">
        <f>units!$H$8*((F25*1.2/units!$B$19)*60+((G25*1.2/units!$D$19)*60)+((H25*1.2/units!$E$19)*60))/60</f>
        <v>2.597402597402598</v>
      </c>
      <c r="N25" s="213">
        <f t="shared" si="1"/>
        <v>2.910976425907426</v>
      </c>
      <c r="O25" s="213">
        <f t="shared" si="2"/>
        <v>2.1832323194305694</v>
      </c>
      <c r="P25" s="214">
        <f t="shared" si="3"/>
        <v>16.7381144489677</v>
      </c>
      <c r="Q25" s="215"/>
      <c r="R25" s="213">
        <f>(F25*1.2*units!$B$36+G25*1.2*units!$D$36+H25*1.2*units!$E$36)+(F25*1.2*units!$B$32+G25*1.2*units!$D$32+H25*1.2*units!$E$32)+(units!$B$4*(F25*1.2*units!$B$24+G25*1.2*units!$D$24+H25*1.2*units!$E$24))</f>
        <v>3.380091956043956</v>
      </c>
      <c r="S25" s="213">
        <f>units!$F$9*(((F25*1.2/units!$B$20)*60)+((G25*1.2/units!$D$20)*60)+((H25*1.2/units!$E$20)*60))/60</f>
        <v>0.9196428571428572</v>
      </c>
      <c r="T25" s="213">
        <f>units!$H$9*(((F25*1.2/units!$B$20)*60)+((G25*1.2/units!$D$20)*60)+((H25*1.2/units!$E$20)*60))/60</f>
        <v>2.597402597402598</v>
      </c>
      <c r="U25" s="213">
        <f t="shared" si="4"/>
        <v>1.7242843526473526</v>
      </c>
      <c r="V25" s="213">
        <f t="shared" si="5"/>
        <v>1.2932132644855143</v>
      </c>
      <c r="W25" s="216">
        <f t="shared" si="6"/>
        <v>9.914635027722277</v>
      </c>
      <c r="X25" s="215"/>
      <c r="Y25" s="213">
        <f>(units!$B$4*(units!$B$25*F25*1.2+units!$D$25*G25*1.2+units!$E$25*H25*1.2)+(F25*1.2*units!$B$33+G25*1.2*units!$D$33+H25*1.2*units!$E$33)+(F25*1.2*units!$B$37+G25*1.2*units!$D$37+H25*1.2*units!$E$37))</f>
        <v>1.332700846153846</v>
      </c>
      <c r="Z25" s="213">
        <f>units!$F$10*(((F25*1.2/units!$B$21)*60)+((G25*1.2/units!$D$21)*60)+((H25*1.2/units!$E$21)*60))/60</f>
        <v>0.16702279202279205</v>
      </c>
      <c r="AA25" s="213">
        <f>units!$H$10*(((F25*1.2/units!$B$21)*60)+((G25*1.2/units!$D$21)*60)+((H25*1.2/units!$E$21)*60))/60</f>
        <v>1.6835016835016836</v>
      </c>
      <c r="AB25" s="213">
        <f t="shared" si="7"/>
        <v>0.7958063304195804</v>
      </c>
      <c r="AC25" s="213">
        <f t="shared" si="8"/>
        <v>0.5968547478146853</v>
      </c>
      <c r="AD25" s="214">
        <f t="shared" si="9"/>
        <v>4.575886399912587</v>
      </c>
      <c r="AE25" s="148"/>
      <c r="AF25" s="214">
        <f>IF(E25=units!$N$8,P25,"")</f>
        <v>16.7381144489677</v>
      </c>
      <c r="AG25" s="214">
        <f>IF(E25=units!$M$8,W25,"")</f>
      </c>
      <c r="AH25" s="214">
        <f>IF(E25=units!$L$8,AD25,"")</f>
      </c>
      <c r="AI25" s="214">
        <f t="shared" si="10"/>
        <v>16.7381144489677</v>
      </c>
      <c r="AJ25" s="181">
        <v>2</v>
      </c>
      <c r="AK25" s="255">
        <f t="shared" si="11"/>
        <v>33.4762288979354</v>
      </c>
      <c r="AL25" s="256">
        <f t="shared" si="12"/>
        <v>5858.340057138695</v>
      </c>
      <c r="AM25" s="144"/>
      <c r="AN25" s="243"/>
      <c r="AO25" s="241"/>
    </row>
    <row r="26" spans="1:41" s="130" customFormat="1" ht="15">
      <c r="A26" s="294">
        <v>17</v>
      </c>
      <c r="B26" s="201" t="s">
        <v>153</v>
      </c>
      <c r="C26" s="202">
        <v>65</v>
      </c>
      <c r="D26" s="201" t="s">
        <v>154</v>
      </c>
      <c r="E26" s="203" t="str">
        <f>IF(ISNUMBER(C26),IF(C26&lt;=units!$L$7,units!$L$8,IF(C26&lt;=units!$N$7,units!$M$8,IF(C26&gt;units!$O$8,"OXI",units!$N$8))),"--")</f>
        <v>BUS</v>
      </c>
      <c r="F26" s="210">
        <v>0</v>
      </c>
      <c r="G26" s="211">
        <v>14</v>
      </c>
      <c r="H26" s="212">
        <v>0</v>
      </c>
      <c r="I26" s="218">
        <f t="shared" si="0"/>
        <v>14</v>
      </c>
      <c r="J26" s="279"/>
      <c r="K26" s="276">
        <f>(units!$B$4*(F26*1.2*units!$B$23+G26*1.2*units!$D$23+H26*1.2*units!$E$23))+(F26*1.2*units!$B$31+G26*1.2*units!$D$31+H26*1.2*units!$E$31)+(F26*1.2*units!$B$35+G26*1.2*units!$D$35+H26*1.2*units!$E$35)</f>
        <v>13.595653292307695</v>
      </c>
      <c r="L26" s="213">
        <f>units!$F$8*((F26*1.2/units!$B$19)*60+((G26*1.2/units!$D$19)*60)+((H26*1.2/units!$E$19)*60))/60</f>
        <v>3.0223646723646733</v>
      </c>
      <c r="M26" s="213">
        <f>units!$H$8*((F26*1.2/units!$B$19)*60+((G26*1.2/units!$D$19)*60)+((H26*1.2/units!$E$19)*60))/60</f>
        <v>5.6565656565656575</v>
      </c>
      <c r="N26" s="213">
        <f t="shared" si="1"/>
        <v>5.5686459053095065</v>
      </c>
      <c r="O26" s="213">
        <f t="shared" si="2"/>
        <v>4.176484428982129</v>
      </c>
      <c r="P26" s="214">
        <f t="shared" si="3"/>
        <v>32.01971395552966</v>
      </c>
      <c r="Q26" s="209"/>
      <c r="R26" s="213">
        <f>(F26*1.2*units!$B$36+G26*1.2*units!$D$36+H26*1.2*units!$E$36)+(F26*1.2*units!$B$32+G26*1.2*units!$D$32+H26*1.2*units!$E$32)+(units!$B$4*(F26*1.2*units!$B$24+G26*1.2*units!$D$24+H26*1.2*units!$E$24))</f>
        <v>7.396970215384616</v>
      </c>
      <c r="S26" s="213">
        <f>units!$F$9*(((F26*1.2/units!$B$20)*60)+((G26*1.2/units!$D$20)*60)+((H26*1.2/units!$E$20)*60))/60</f>
        <v>2.0027777777777778</v>
      </c>
      <c r="T26" s="213">
        <f>units!$H$9*(((F26*1.2/units!$B$20)*60)+((G26*1.2/units!$D$20)*60)+((H26*1.2/units!$E$20)*60))/60</f>
        <v>5.6565656565656575</v>
      </c>
      <c r="U26" s="213">
        <f t="shared" si="4"/>
        <v>3.764078412432013</v>
      </c>
      <c r="V26" s="213">
        <f t="shared" si="5"/>
        <v>2.8230588093240097</v>
      </c>
      <c r="W26" s="214">
        <f t="shared" si="6"/>
        <v>21.643450871484074</v>
      </c>
      <c r="X26" s="209"/>
      <c r="Y26" s="213">
        <f>(units!$B$4*(units!$B$25*F26*1.2+units!$D$25*G26*1.2+units!$E$25*H26*1.2)+(F26*1.2*units!$B$33+G26*1.2*units!$D$33+H26*1.2*units!$E$33)+(F26*1.2*units!$B$37+G26*1.2*units!$D$37+H26*1.2*units!$E$37))</f>
        <v>3.191219974825175</v>
      </c>
      <c r="Z26" s="213">
        <f>units!$F$10*(((F26*1.2/units!$B$21)*60)+((G26*1.2/units!$D$21)*60)+((H26*1.2/units!$E$21)*60))/60</f>
        <v>0.38263403263403273</v>
      </c>
      <c r="AA26" s="213">
        <f>units!$H$10*(((F26*1.2/units!$B$21)*60)+((G26*1.2/units!$D$21)*60)+((H26*1.2/units!$E$21)*60))/60</f>
        <v>3.8567493112947657</v>
      </c>
      <c r="AB26" s="213">
        <f t="shared" si="7"/>
        <v>1.8576508296884935</v>
      </c>
      <c r="AC26" s="213">
        <f t="shared" si="8"/>
        <v>1.3932381222663701</v>
      </c>
      <c r="AD26" s="214">
        <f t="shared" si="9"/>
        <v>10.681492270708837</v>
      </c>
      <c r="AE26" s="217"/>
      <c r="AF26" s="214">
        <f>IF(E26=units!$N$8,P26,"")</f>
        <v>32.01971395552966</v>
      </c>
      <c r="AG26" s="214">
        <f>IF(E26=units!$M$8,W26,"")</f>
      </c>
      <c r="AH26" s="214">
        <f>IF(E26=units!$L$8,AD26,"")</f>
      </c>
      <c r="AI26" s="214">
        <f t="shared" si="10"/>
        <v>32.01971395552966</v>
      </c>
      <c r="AJ26" s="181">
        <v>4</v>
      </c>
      <c r="AK26" s="255">
        <f t="shared" si="11"/>
        <v>128.07885582211864</v>
      </c>
      <c r="AL26" s="256">
        <f t="shared" si="12"/>
        <v>22413.799768870762</v>
      </c>
      <c r="AM26" s="144"/>
      <c r="AN26" s="243"/>
      <c r="AO26" s="241"/>
    </row>
    <row r="27" spans="1:41" s="130" customFormat="1" ht="30">
      <c r="A27" s="294">
        <v>18</v>
      </c>
      <c r="B27" s="201" t="s">
        <v>232</v>
      </c>
      <c r="C27" s="202">
        <v>35</v>
      </c>
      <c r="D27" s="201" t="s">
        <v>121</v>
      </c>
      <c r="E27" s="203" t="str">
        <f>IF(ISNUMBER(C27),IF(C27&lt;=units!$L$7,units!$L$8,IF(C27&lt;=units!$N$7,units!$M$8,IF(C27&gt;units!$O$8,"OXI",units!$N$8))),"--")</f>
        <v>BUS</v>
      </c>
      <c r="F27" s="210">
        <v>0</v>
      </c>
      <c r="G27" s="211">
        <v>0</v>
      </c>
      <c r="H27" s="212">
        <v>5</v>
      </c>
      <c r="I27" s="218">
        <f t="shared" si="0"/>
        <v>5</v>
      </c>
      <c r="J27" s="279"/>
      <c r="K27" s="276">
        <f>(units!$B$4*(F27*1.2*units!$B$23+G27*1.2*units!$D$23+H27*1.2*units!$E$23))+(F27*1.2*units!$B$31+G27*1.2*units!$D$31+H27*1.2*units!$E$31)+(F27*1.2*units!$B$35+G27*1.2*units!$D$35+H27*1.2*units!$E$35)</f>
        <v>7.658682593406594</v>
      </c>
      <c r="L27" s="213">
        <f>units!$F$8*((F27*1.2/units!$B$19)*60+((G27*1.2/units!$D$19)*60)+((H27*1.2/units!$E$19)*60))/60</f>
        <v>1.3878205128205132</v>
      </c>
      <c r="M27" s="213">
        <f>units!$H$8*((F27*1.2/units!$B$19)*60+((G27*1.2/units!$D$19)*60)+((H27*1.2/units!$E$19)*60))/60</f>
        <v>2.597402597402598</v>
      </c>
      <c r="N27" s="213">
        <f t="shared" si="1"/>
        <v>2.910976425907426</v>
      </c>
      <c r="O27" s="213">
        <f t="shared" si="2"/>
        <v>2.1832323194305694</v>
      </c>
      <c r="P27" s="214">
        <f t="shared" si="3"/>
        <v>16.7381144489677</v>
      </c>
      <c r="Q27" s="215"/>
      <c r="R27" s="213">
        <f>(F27*1.2*units!$B$36+G27*1.2*units!$D$36+H27*1.2*units!$E$36)+(F27*1.2*units!$B$32+G27*1.2*units!$D$32+H27*1.2*units!$E$32)+(units!$B$4*(F27*1.2*units!$B$24+G27*1.2*units!$D$24+H27*1.2*units!$E$24))</f>
        <v>3.380091956043956</v>
      </c>
      <c r="S27" s="213">
        <f>units!$F$9*(((F27*1.2/units!$B$20)*60)+((G27*1.2/units!$D$20)*60)+((H27*1.2/units!$E$20)*60))/60</f>
        <v>0.9196428571428572</v>
      </c>
      <c r="T27" s="213">
        <f>units!$H$9*(((F27*1.2/units!$B$20)*60)+((G27*1.2/units!$D$20)*60)+((H27*1.2/units!$E$20)*60))/60</f>
        <v>2.597402597402598</v>
      </c>
      <c r="U27" s="213">
        <f t="shared" si="4"/>
        <v>1.7242843526473526</v>
      </c>
      <c r="V27" s="213">
        <f t="shared" si="5"/>
        <v>1.2932132644855143</v>
      </c>
      <c r="W27" s="216">
        <f t="shared" si="6"/>
        <v>9.914635027722277</v>
      </c>
      <c r="X27" s="215"/>
      <c r="Y27" s="213">
        <f>(units!$B$4*(units!$B$25*F27*1.2+units!$D$25*G27*1.2+units!$E$25*H27*1.2)+(F27*1.2*units!$B$33+G27*1.2*units!$D$33+H27*1.2*units!$E$33)+(F27*1.2*units!$B$37+G27*1.2*units!$D$37+H27*1.2*units!$E$37))</f>
        <v>1.332700846153846</v>
      </c>
      <c r="Z27" s="213">
        <f>units!$F$10*(((F27*1.2/units!$B$21)*60)+((G27*1.2/units!$D$21)*60)+((H27*1.2/units!$E$21)*60))/60</f>
        <v>0.16702279202279205</v>
      </c>
      <c r="AA27" s="213">
        <f>units!$H$10*(((F27*1.2/units!$B$21)*60)+((G27*1.2/units!$D$21)*60)+((H27*1.2/units!$E$21)*60))/60</f>
        <v>1.6835016835016836</v>
      </c>
      <c r="AB27" s="213">
        <f t="shared" si="7"/>
        <v>0.7958063304195804</v>
      </c>
      <c r="AC27" s="213">
        <f t="shared" si="8"/>
        <v>0.5968547478146853</v>
      </c>
      <c r="AD27" s="214">
        <f t="shared" si="9"/>
        <v>4.575886399912587</v>
      </c>
      <c r="AE27" s="148"/>
      <c r="AF27" s="214">
        <f>IF(E27=units!$N$8,P27,"")</f>
        <v>16.7381144489677</v>
      </c>
      <c r="AG27" s="214">
        <f>IF(E27=units!$M$8,W27,"")</f>
      </c>
      <c r="AH27" s="214">
        <f>IF(E27=units!$L$8,AD27,"")</f>
      </c>
      <c r="AI27" s="214">
        <f t="shared" si="10"/>
        <v>16.7381144489677</v>
      </c>
      <c r="AJ27" s="181">
        <v>2</v>
      </c>
      <c r="AK27" s="255">
        <f t="shared" si="11"/>
        <v>33.4762288979354</v>
      </c>
      <c r="AL27" s="256">
        <f t="shared" si="12"/>
        <v>5858.340057138695</v>
      </c>
      <c r="AM27" s="144"/>
      <c r="AN27" s="243"/>
      <c r="AO27" s="241"/>
    </row>
    <row r="28" spans="1:41" s="130" customFormat="1" ht="15">
      <c r="A28" s="294">
        <v>19</v>
      </c>
      <c r="B28" s="201" t="s">
        <v>108</v>
      </c>
      <c r="C28" s="202">
        <v>79</v>
      </c>
      <c r="D28" s="201" t="s">
        <v>122</v>
      </c>
      <c r="E28" s="203" t="str">
        <f>IF(ISNUMBER(C28),IF(C28&lt;=units!$L$7,units!$L$8,IF(C28&lt;=units!$N$7,units!$M$8,IF(C28&gt;units!$O$8,"OXI",units!$N$8))),"--")</f>
        <v>BUS</v>
      </c>
      <c r="F28" s="210">
        <v>0</v>
      </c>
      <c r="G28" s="211">
        <v>0</v>
      </c>
      <c r="H28" s="212">
        <v>14</v>
      </c>
      <c r="I28" s="218">
        <f t="shared" si="0"/>
        <v>14</v>
      </c>
      <c r="J28" s="279"/>
      <c r="K28" s="276">
        <f>(units!$B$4*(F28*1.2*units!$B$23+G28*1.2*units!$D$23+H28*1.2*units!$E$23))+(F28*1.2*units!$B$31+G28*1.2*units!$D$31+H28*1.2*units!$E$31)+(F28*1.2*units!$B$35+G28*1.2*units!$D$35+H28*1.2*units!$E$35)</f>
        <v>21.44431126153846</v>
      </c>
      <c r="L28" s="213">
        <f>units!$F$8*((F28*1.2/units!$B$19)*60+((G28*1.2/units!$D$19)*60)+((H28*1.2/units!$E$19)*60))/60</f>
        <v>3.8858974358974363</v>
      </c>
      <c r="M28" s="213">
        <f>units!$H$8*((F28*1.2/units!$B$19)*60+((G28*1.2/units!$D$19)*60)+((H28*1.2/units!$E$19)*60))/60</f>
        <v>7.2727272727272725</v>
      </c>
      <c r="N28" s="213">
        <f t="shared" si="1"/>
        <v>8.150733992540792</v>
      </c>
      <c r="O28" s="213">
        <f t="shared" si="2"/>
        <v>6.113050494405594</v>
      </c>
      <c r="P28" s="214">
        <f t="shared" si="3"/>
        <v>46.86672045710955</v>
      </c>
      <c r="Q28" s="209"/>
      <c r="R28" s="213">
        <f>(F28*1.2*units!$B$36+G28*1.2*units!$D$36+H28*1.2*units!$E$36)+(F28*1.2*units!$B$32+G28*1.2*units!$D$32+H28*1.2*units!$E$32)+(units!$B$4*(F28*1.2*units!$B$24+G28*1.2*units!$D$24+H28*1.2*units!$E$24))</f>
        <v>9.464257476923077</v>
      </c>
      <c r="S28" s="213">
        <f>units!$F$9*(((F28*1.2/units!$B$20)*60)+((G28*1.2/units!$D$20)*60)+((H28*1.2/units!$E$20)*60))/60</f>
        <v>2.575</v>
      </c>
      <c r="T28" s="213">
        <f>units!$H$9*(((F28*1.2/units!$B$20)*60)+((G28*1.2/units!$D$20)*60)+((H28*1.2/units!$E$20)*60))/60</f>
        <v>7.2727272727272725</v>
      </c>
      <c r="U28" s="213">
        <f t="shared" si="4"/>
        <v>4.827996187412587</v>
      </c>
      <c r="V28" s="213">
        <f t="shared" si="5"/>
        <v>3.6209971405594406</v>
      </c>
      <c r="W28" s="214">
        <f t="shared" si="6"/>
        <v>27.760978077622376</v>
      </c>
      <c r="X28" s="209"/>
      <c r="Y28" s="213">
        <f>(units!$B$4*(units!$B$25*F28*1.2+units!$D$25*G28*1.2+units!$E$25*H28*1.2)+(F28*1.2*units!$B$33+G28*1.2*units!$D$33+H28*1.2*units!$E$33)+(F28*1.2*units!$B$37+G28*1.2*units!$D$37+H28*1.2*units!$E$37))</f>
        <v>3.731562369230769</v>
      </c>
      <c r="Z28" s="213">
        <f>units!$F$10*(((F28*1.2/units!$B$21)*60)+((G28*1.2/units!$D$21)*60)+((H28*1.2/units!$E$21)*60))/60</f>
        <v>0.46766381766381776</v>
      </c>
      <c r="AA28" s="213">
        <f>units!$H$10*(((F28*1.2/units!$B$21)*60)+((G28*1.2/units!$D$21)*60)+((H28*1.2/units!$E$21)*60))/60</f>
        <v>4.7138047138047146</v>
      </c>
      <c r="AB28" s="213">
        <f t="shared" si="7"/>
        <v>2.2282577251748252</v>
      </c>
      <c r="AC28" s="213">
        <f t="shared" si="8"/>
        <v>1.6711932938811187</v>
      </c>
      <c r="AD28" s="214">
        <f t="shared" si="9"/>
        <v>12.812481919755244</v>
      </c>
      <c r="AE28" s="217"/>
      <c r="AF28" s="214">
        <f>IF(E28=units!$N$8,P28,"")</f>
        <v>46.86672045710955</v>
      </c>
      <c r="AG28" s="214">
        <f>IF(E28=units!$M$8,W28,"")</f>
      </c>
      <c r="AH28" s="214">
        <f>IF(E28=units!$L$8,AD28,"")</f>
      </c>
      <c r="AI28" s="214">
        <f t="shared" si="10"/>
        <v>46.86672045710955</v>
      </c>
      <c r="AJ28" s="181">
        <v>4</v>
      </c>
      <c r="AK28" s="255">
        <f t="shared" si="11"/>
        <v>187.4668818284382</v>
      </c>
      <c r="AL28" s="256">
        <f t="shared" si="12"/>
        <v>32806.704319976685</v>
      </c>
      <c r="AM28" s="144"/>
      <c r="AN28" s="243"/>
      <c r="AO28" s="241"/>
    </row>
    <row r="29" spans="1:41" s="130" customFormat="1" ht="15">
      <c r="A29" s="294">
        <v>20</v>
      </c>
      <c r="B29" s="201" t="s">
        <v>109</v>
      </c>
      <c r="C29" s="202">
        <v>34</v>
      </c>
      <c r="D29" s="201" t="s">
        <v>123</v>
      </c>
      <c r="E29" s="203" t="str">
        <f>IF(ISNUMBER(C29),IF(C29&lt;=units!$L$7,units!$L$8,IF(C29&lt;=units!$N$7,units!$M$8,IF(C29&gt;units!$O$8,"OXI",units!$N$8))),"--")</f>
        <v>BUS</v>
      </c>
      <c r="F29" s="210">
        <v>0</v>
      </c>
      <c r="G29" s="211">
        <v>0</v>
      </c>
      <c r="H29" s="212">
        <v>5</v>
      </c>
      <c r="I29" s="218">
        <f t="shared" si="0"/>
        <v>5</v>
      </c>
      <c r="J29" s="279"/>
      <c r="K29" s="276">
        <f>(units!$B$4*(F29*1.2*units!$B$23+G29*1.2*units!$D$23+H29*1.2*units!$E$23))+(F29*1.2*units!$B$31+G29*1.2*units!$D$31+H29*1.2*units!$E$31)+(F29*1.2*units!$B$35+G29*1.2*units!$D$35+H29*1.2*units!$E$35)</f>
        <v>7.658682593406594</v>
      </c>
      <c r="L29" s="213">
        <f>units!$F$8*((F29*1.2/units!$B$19)*60+((G29*1.2/units!$D$19)*60)+((H29*1.2/units!$E$19)*60))/60</f>
        <v>1.3878205128205132</v>
      </c>
      <c r="M29" s="213">
        <f>units!$H$8*((F29*1.2/units!$B$19)*60+((G29*1.2/units!$D$19)*60)+((H29*1.2/units!$E$19)*60))/60</f>
        <v>2.597402597402598</v>
      </c>
      <c r="N29" s="213">
        <f t="shared" si="1"/>
        <v>2.910976425907426</v>
      </c>
      <c r="O29" s="213">
        <f t="shared" si="2"/>
        <v>2.1832323194305694</v>
      </c>
      <c r="P29" s="214">
        <f t="shared" si="3"/>
        <v>16.7381144489677</v>
      </c>
      <c r="Q29" s="215"/>
      <c r="R29" s="213">
        <f>(F29*1.2*units!$B$36+G29*1.2*units!$D$36+H29*1.2*units!$E$36)+(F29*1.2*units!$B$32+G29*1.2*units!$D$32+H29*1.2*units!$E$32)+(units!$B$4*(F29*1.2*units!$B$24+G29*1.2*units!$D$24+H29*1.2*units!$E$24))</f>
        <v>3.380091956043956</v>
      </c>
      <c r="S29" s="213">
        <f>units!$F$9*(((F29*1.2/units!$B$20)*60)+((G29*1.2/units!$D$20)*60)+((H29*1.2/units!$E$20)*60))/60</f>
        <v>0.9196428571428572</v>
      </c>
      <c r="T29" s="213">
        <f>units!$H$9*(((F29*1.2/units!$B$20)*60)+((G29*1.2/units!$D$20)*60)+((H29*1.2/units!$E$20)*60))/60</f>
        <v>2.597402597402598</v>
      </c>
      <c r="U29" s="213">
        <f t="shared" si="4"/>
        <v>1.7242843526473526</v>
      </c>
      <c r="V29" s="213">
        <f t="shared" si="5"/>
        <v>1.2932132644855143</v>
      </c>
      <c r="W29" s="216">
        <f t="shared" si="6"/>
        <v>9.914635027722277</v>
      </c>
      <c r="X29" s="215"/>
      <c r="Y29" s="213">
        <f>(units!$B$4*(units!$B$25*F29*1.2+units!$D$25*G29*1.2+units!$E$25*H29*1.2)+(F29*1.2*units!$B$33+G29*1.2*units!$D$33+H29*1.2*units!$E$33)+(F29*1.2*units!$B$37+G29*1.2*units!$D$37+H29*1.2*units!$E$37))</f>
        <v>1.332700846153846</v>
      </c>
      <c r="Z29" s="213">
        <f>units!$F$10*(((F29*1.2/units!$B$21)*60)+((G29*1.2/units!$D$21)*60)+((H29*1.2/units!$E$21)*60))/60</f>
        <v>0.16702279202279205</v>
      </c>
      <c r="AA29" s="213">
        <f>units!$H$10*(((F29*1.2/units!$B$21)*60)+((G29*1.2/units!$D$21)*60)+((H29*1.2/units!$E$21)*60))/60</f>
        <v>1.6835016835016836</v>
      </c>
      <c r="AB29" s="213">
        <f t="shared" si="7"/>
        <v>0.7958063304195804</v>
      </c>
      <c r="AC29" s="213">
        <f t="shared" si="8"/>
        <v>0.5968547478146853</v>
      </c>
      <c r="AD29" s="214">
        <f t="shared" si="9"/>
        <v>4.575886399912587</v>
      </c>
      <c r="AE29" s="148"/>
      <c r="AF29" s="214">
        <f>IF(E29=units!$N$8,P29,"")</f>
        <v>16.7381144489677</v>
      </c>
      <c r="AG29" s="214">
        <f>IF(E29=units!$M$8,W29,"")</f>
      </c>
      <c r="AH29" s="214">
        <f>IF(E29=units!$L$8,AD29,"")</f>
      </c>
      <c r="AI29" s="214">
        <f t="shared" si="10"/>
        <v>16.7381144489677</v>
      </c>
      <c r="AJ29" s="181">
        <v>2</v>
      </c>
      <c r="AK29" s="255">
        <f t="shared" si="11"/>
        <v>33.4762288979354</v>
      </c>
      <c r="AL29" s="256">
        <f t="shared" si="12"/>
        <v>5858.340057138695</v>
      </c>
      <c r="AM29" s="144"/>
      <c r="AN29" s="243"/>
      <c r="AO29" s="241"/>
    </row>
    <row r="30" spans="1:41" s="130" customFormat="1" ht="30">
      <c r="A30" s="294">
        <v>21</v>
      </c>
      <c r="B30" s="201" t="s">
        <v>240</v>
      </c>
      <c r="C30" s="232">
        <v>21</v>
      </c>
      <c r="D30" s="201" t="s">
        <v>124</v>
      </c>
      <c r="E30" s="203" t="str">
        <f>IF(ISNUMBER(C30),IF(C30&lt;=units!$L$7,units!$L$8,IF(C30&lt;=units!$N$7,units!$M$8,IF(C30&gt;units!$O$8,"OXI",units!$N$8))),"--")</f>
        <v>BUS</v>
      </c>
      <c r="F30" s="210">
        <v>0</v>
      </c>
      <c r="G30" s="211">
        <v>0</v>
      </c>
      <c r="H30" s="212">
        <v>6</v>
      </c>
      <c r="I30" s="218">
        <f t="shared" si="0"/>
        <v>6</v>
      </c>
      <c r="J30" s="279"/>
      <c r="K30" s="276">
        <f>(units!$B$4*(F30*1.2*units!$B$23+G30*1.2*units!$D$23+H30*1.2*units!$E$23))+(F30*1.2*units!$B$31+G30*1.2*units!$D$31+H30*1.2*units!$E$31)+(F30*1.2*units!$B$35+G30*1.2*units!$D$35+H30*1.2*units!$E$35)</f>
        <v>9.190419112087913</v>
      </c>
      <c r="L30" s="213">
        <f>units!$F$8*((F30*1.2/units!$B$19)*60+((G30*1.2/units!$D$19)*60)+((H30*1.2/units!$E$19)*60))/60</f>
        <v>1.6653846153846155</v>
      </c>
      <c r="M30" s="213">
        <f>units!$H$8*((F30*1.2/units!$B$19)*60+((G30*1.2/units!$D$19)*60)+((H30*1.2/units!$E$19)*60))/60</f>
        <v>3.1168831168831166</v>
      </c>
      <c r="N30" s="213">
        <f t="shared" si="1"/>
        <v>3.493171711088911</v>
      </c>
      <c r="O30" s="213">
        <f t="shared" si="2"/>
        <v>2.619878783316683</v>
      </c>
      <c r="P30" s="214">
        <f t="shared" si="3"/>
        <v>20.085737338761238</v>
      </c>
      <c r="Q30" s="209"/>
      <c r="R30" s="213">
        <f>(F30*1.2*units!$B$36+G30*1.2*units!$D$36+H30*1.2*units!$E$36)+(F30*1.2*units!$B$32+G30*1.2*units!$D$32+H30*1.2*units!$E$32)+(units!$B$4*(F30*1.2*units!$B$24+G30*1.2*units!$D$24+H30*1.2*units!$E$24))</f>
        <v>4.056110347252747</v>
      </c>
      <c r="S30" s="213">
        <f>units!$F$9*(((F30*1.2/units!$B$20)*60)+((G30*1.2/units!$D$20)*60)+((H30*1.2/units!$E$20)*60))/60</f>
        <v>1.1035714285714284</v>
      </c>
      <c r="T30" s="213">
        <f>units!$H$9*(((F30*1.2/units!$B$20)*60)+((G30*1.2/units!$D$20)*60)+((H30*1.2/units!$E$20)*60))/60</f>
        <v>3.1168831168831166</v>
      </c>
      <c r="U30" s="213">
        <f t="shared" si="4"/>
        <v>2.069141223176823</v>
      </c>
      <c r="V30" s="213">
        <f t="shared" si="5"/>
        <v>1.5518559173826172</v>
      </c>
      <c r="W30" s="214">
        <f t="shared" si="6"/>
        <v>11.897562033266732</v>
      </c>
      <c r="X30" s="209"/>
      <c r="Y30" s="213">
        <f>(units!$B$4*(units!$B$25*F30*1.2+units!$D$25*G30*1.2+units!$E$25*H30*1.2)+(F30*1.2*units!$B$33+G30*1.2*units!$D$33+H30*1.2*units!$E$33)+(F30*1.2*units!$B$37+G30*1.2*units!$D$37+H30*1.2*units!$E$37))</f>
        <v>1.5992410153846153</v>
      </c>
      <c r="Z30" s="213">
        <f>units!$F$10*(((F30*1.2/units!$B$21)*60)+((G30*1.2/units!$D$21)*60)+((H30*1.2/units!$E$21)*60))/60</f>
        <v>0.20042735042735044</v>
      </c>
      <c r="AA30" s="213">
        <f>units!$H$10*(((F30*1.2/units!$B$21)*60)+((G30*1.2/units!$D$21)*60)+((H30*1.2/units!$E$21)*60))/60</f>
        <v>2.02020202020202</v>
      </c>
      <c r="AB30" s="213">
        <f t="shared" si="7"/>
        <v>0.9549675965034964</v>
      </c>
      <c r="AC30" s="213">
        <f t="shared" si="8"/>
        <v>0.7162256973776223</v>
      </c>
      <c r="AD30" s="214">
        <f t="shared" si="9"/>
        <v>5.491063679895104</v>
      </c>
      <c r="AE30" s="217"/>
      <c r="AF30" s="214">
        <f>IF(E30=units!$N$8,P30,"")</f>
        <v>20.085737338761238</v>
      </c>
      <c r="AG30" s="214">
        <f>IF(E30=units!$M$8,W30,"")</f>
      </c>
      <c r="AH30" s="214">
        <f>IF(E30=units!$L$8,AD30,"")</f>
      </c>
      <c r="AI30" s="214">
        <f t="shared" si="10"/>
        <v>20.085737338761238</v>
      </c>
      <c r="AJ30" s="181">
        <v>2</v>
      </c>
      <c r="AK30" s="255">
        <f t="shared" si="11"/>
        <v>40.171474677522475</v>
      </c>
      <c r="AL30" s="256">
        <f t="shared" si="12"/>
        <v>7030.008068566433</v>
      </c>
      <c r="AM30" s="241"/>
      <c r="AN30" s="242"/>
      <c r="AO30" s="241"/>
    </row>
    <row r="31" spans="1:41" s="130" customFormat="1" ht="15">
      <c r="A31" s="294">
        <v>22</v>
      </c>
      <c r="B31" s="219" t="s">
        <v>110</v>
      </c>
      <c r="C31" s="202">
        <v>24</v>
      </c>
      <c r="D31" s="201" t="s">
        <v>125</v>
      </c>
      <c r="E31" s="203" t="str">
        <f>IF(ISNUMBER(C31),IF(C31&lt;=units!$L$7,units!$L$8,IF(C31&lt;=units!$N$7,units!$M$8,IF(C31&gt;units!$O$8,"OXI",units!$N$8))),"--")</f>
        <v>BUS</v>
      </c>
      <c r="F31" s="210">
        <v>3</v>
      </c>
      <c r="G31" s="211">
        <v>0</v>
      </c>
      <c r="H31" s="212">
        <v>0</v>
      </c>
      <c r="I31" s="218">
        <f t="shared" si="0"/>
        <v>3</v>
      </c>
      <c r="J31" s="279"/>
      <c r="K31" s="276">
        <f>(units!$B$4*(F31*1.2*units!$B$23+G31*1.2*units!$D$23+H31*1.2*units!$E$23))+(F31*1.2*units!$B$31+G31*1.2*units!$D$31+H31*1.2*units!$E$31)+(F31*1.2*units!$B$35+G31*1.2*units!$D$35+H31*1.2*units!$E$35)</f>
        <v>4.66252643076923</v>
      </c>
      <c r="L31" s="213">
        <f>units!$F$8*((F31*1.2/units!$B$19)*60+((G31*1.2/units!$D$19)*60)+((H31*1.2/units!$E$19)*60))/60</f>
        <v>1.942948717948718</v>
      </c>
      <c r="M31" s="213">
        <f>units!$H$8*((F31*1.2/units!$B$19)*60+((G31*1.2/units!$D$19)*60)+((H31*1.2/units!$E$19)*60))/60</f>
        <v>3.636363636363636</v>
      </c>
      <c r="N31" s="213">
        <f t="shared" si="1"/>
        <v>2.560459696270396</v>
      </c>
      <c r="O31" s="213">
        <f t="shared" si="2"/>
        <v>1.9203447722027969</v>
      </c>
      <c r="P31" s="214">
        <f t="shared" si="3"/>
        <v>14.722643253554775</v>
      </c>
      <c r="Q31" s="215"/>
      <c r="R31" s="213">
        <f>(F31*1.2*units!$B$36+G31*1.2*units!$D$36+H31*1.2*units!$E$36)+(F31*1.2*units!$B$32+G31*1.2*units!$D$32+H31*1.2*units!$E$32)+(units!$B$4*(F31*1.2*units!$B$24+G31*1.2*units!$D$24+H31*1.2*units!$E$24))</f>
        <v>2.265988015384615</v>
      </c>
      <c r="S31" s="213">
        <f>units!$F$9*(((F31*1.2/units!$B$20)*60)+((G31*1.2/units!$D$20)*60)+((H31*1.2/units!$E$20)*60))/60</f>
        <v>1.0729166666666665</v>
      </c>
      <c r="T31" s="213">
        <f>units!$H$9*(((F31*1.2/units!$B$20)*60)+((G31*1.2/units!$D$20)*60)+((H31*1.2/units!$E$20)*60))/60</f>
        <v>3.0303030303030303</v>
      </c>
      <c r="U31" s="213">
        <f t="shared" si="4"/>
        <v>1.592301928088578</v>
      </c>
      <c r="V31" s="213">
        <f t="shared" si="5"/>
        <v>1.1942264460664334</v>
      </c>
      <c r="W31" s="216">
        <f t="shared" si="6"/>
        <v>9.155736086509323</v>
      </c>
      <c r="X31" s="215"/>
      <c r="Y31" s="213">
        <f>(units!$B$4*(units!$B$25*F31*1.2+units!$D$25*G31*1.2+units!$E$25*H31*1.2)+(F31*1.2*units!$B$33+G31*1.2*units!$D$33+H31*1.2*units!$E$33)+(F31*1.2*units!$B$37+G31*1.2*units!$D$37+H31*1.2*units!$E$37))</f>
        <v>0.7789777615384614</v>
      </c>
      <c r="Z31" s="213">
        <f>units!$F$10*(((F31*1.2/units!$B$21)*60)+((G31*1.2/units!$D$21)*60)+((H31*1.2/units!$E$21)*60))/60</f>
        <v>0.15032051282051284</v>
      </c>
      <c r="AA31" s="213">
        <f>units!$H$10*(((F31*1.2/units!$B$21)*60)+((G31*1.2/units!$D$21)*60)+((H31*1.2/units!$E$21)*60))/60</f>
        <v>1.5151515151515151</v>
      </c>
      <c r="AB31" s="213">
        <f t="shared" si="7"/>
        <v>0.6111124473776224</v>
      </c>
      <c r="AC31" s="213">
        <f t="shared" si="8"/>
        <v>0.4583343355332168</v>
      </c>
      <c r="AD31" s="214">
        <f t="shared" si="9"/>
        <v>3.513896572421329</v>
      </c>
      <c r="AE31" s="148"/>
      <c r="AF31" s="214">
        <f>IF(E31=units!$N$8,P31,"")</f>
        <v>14.722643253554775</v>
      </c>
      <c r="AG31" s="214">
        <f>IF(E31=units!$M$8,W31,"")</f>
      </c>
      <c r="AH31" s="214">
        <f>IF(E31=units!$L$8,AD31,"")</f>
      </c>
      <c r="AI31" s="214">
        <f t="shared" si="10"/>
        <v>14.722643253554775</v>
      </c>
      <c r="AJ31" s="181">
        <v>2</v>
      </c>
      <c r="AK31" s="255">
        <f t="shared" si="11"/>
        <v>29.44528650710955</v>
      </c>
      <c r="AL31" s="256">
        <f t="shared" si="12"/>
        <v>5152.925138744171</v>
      </c>
      <c r="AM31" s="144"/>
      <c r="AN31" s="243"/>
      <c r="AO31" s="241"/>
    </row>
    <row r="32" spans="1:41" s="130" customFormat="1" ht="15">
      <c r="A32" s="294">
        <v>23</v>
      </c>
      <c r="B32" s="201" t="s">
        <v>242</v>
      </c>
      <c r="C32" s="202">
        <v>4</v>
      </c>
      <c r="D32" s="201" t="s">
        <v>243</v>
      </c>
      <c r="E32" s="203" t="str">
        <f>IF(ISNUMBER(C32),IF(C32&lt;=units!$L$7,units!$L$8,IF(C32&lt;=units!$N$7,units!$M$8,IF(C32&gt;units!$O$8,"OXI",units!$N$8))),"--")</f>
        <v>TAXI</v>
      </c>
      <c r="F32" s="210"/>
      <c r="G32" s="211">
        <v>28</v>
      </c>
      <c r="H32" s="212">
        <v>0</v>
      </c>
      <c r="I32" s="218">
        <f>IF(SUM(F32:H32)=0,"--",SUM(F32:H32))</f>
        <v>28</v>
      </c>
      <c r="J32" s="279"/>
      <c r="K32" s="276">
        <f>(units!$B$4*(F32*1.2*units!$B$23+G32*1.2*units!$D$23+H32*1.2*units!$E$23))+(F32*1.2*units!$B$31+G32*1.2*units!$D$31+H32*1.2*units!$E$31)+(F32*1.2*units!$B$35+G32*1.2*units!$D$35+H32*1.2*units!$E$35)</f>
        <v>27.19130658461539</v>
      </c>
      <c r="L32" s="213">
        <f>units!$F$8*((F32*1.2/units!$B$19)*60+((G32*1.2/units!$D$19)*60)+((H32*1.2/units!$E$19)*60))/60</f>
        <v>6.044729344729347</v>
      </c>
      <c r="M32" s="213">
        <f>units!$H$8*((F32*1.2/units!$B$19)*60+((G32*1.2/units!$D$19)*60)+((H32*1.2/units!$E$19)*60))/60</f>
        <v>11.313131313131315</v>
      </c>
      <c r="N32" s="213">
        <f>0.25*(K32+L32+M32)</f>
        <v>11.137291810619013</v>
      </c>
      <c r="O32" s="213">
        <f>0.15*(K32+L32+M32+N32)</f>
        <v>8.352968857964258</v>
      </c>
      <c r="P32" s="214">
        <f>SUM(K32:O32)</f>
        <v>64.03942791105932</v>
      </c>
      <c r="Q32" s="215"/>
      <c r="R32" s="213">
        <f>(F32*1.2*units!$B$36+G32*1.2*units!$D$36+H32*1.2*units!$E$36)+(F32*1.2*units!$B$32+G32*1.2*units!$D$32+H32*1.2*units!$E$32)+(units!$B$4*(F32*1.2*units!$B$24+G32*1.2*units!$D$24+H32*1.2*units!$E$24))</f>
        <v>14.793940430769233</v>
      </c>
      <c r="S32" s="213">
        <f>units!$F$9*(((F32*1.2/units!$B$20)*60)+((G32*1.2/units!$D$20)*60)+((H32*1.2/units!$E$20)*60))/60</f>
        <v>4.0055555555555555</v>
      </c>
      <c r="T32" s="213">
        <f>units!$H$9*(((F32*1.2/units!$B$20)*60)+((G32*1.2/units!$D$20)*60)+((H32*1.2/units!$E$20)*60))/60</f>
        <v>11.313131313131315</v>
      </c>
      <c r="U32" s="213">
        <f>0.25*(R32+S32+T32)</f>
        <v>7.528156824864026</v>
      </c>
      <c r="V32" s="213">
        <f>0.15*(R32+S32+T32+U32)</f>
        <v>5.646117618648019</v>
      </c>
      <c r="W32" s="216">
        <f>SUM(R32:V32)</f>
        <v>43.28690174296815</v>
      </c>
      <c r="X32" s="215"/>
      <c r="Y32" s="213">
        <f>(units!$B$4*(units!$B$25*F32*1.2+units!$D$25*G32*1.2+units!$E$25*H32*1.2)+(F32*1.2*units!$B$33+G32*1.2*units!$D$33+H32*1.2*units!$E$33)+(F32*1.2*units!$B$37+G32*1.2*units!$D$37+H32*1.2*units!$E$37))</f>
        <v>6.38243994965035</v>
      </c>
      <c r="Z32" s="213">
        <f>units!$F$10*(((F32*1.2/units!$B$21)*60)+((G32*1.2/units!$D$21)*60)+((H32*1.2/units!$E$21)*60))/60</f>
        <v>0.7652680652680655</v>
      </c>
      <c r="AA32" s="213">
        <f>units!$H$10*(((F32*1.2/units!$B$21)*60)+((G32*1.2/units!$D$21)*60)+((H32*1.2/units!$E$21)*60))/60</f>
        <v>7.7134986225895315</v>
      </c>
      <c r="AB32" s="213">
        <f>0.25*(Y32+Z32+AA32)</f>
        <v>3.715301659376987</v>
      </c>
      <c r="AC32" s="213">
        <f>0.15*(Y32+Z32+AA32+AB32)</f>
        <v>2.7864762445327402</v>
      </c>
      <c r="AD32" s="214">
        <f>SUM(Y32:AC32)</f>
        <v>21.362984541417674</v>
      </c>
      <c r="AE32" s="148"/>
      <c r="AF32" s="214">
        <f>IF(E32=units!$N$8,P32,"")</f>
      </c>
      <c r="AG32" s="214">
        <f>IF(E32=units!$M$8,W32,"")</f>
      </c>
      <c r="AH32" s="214">
        <f>IF(E32=units!$L$8,AD32,"")</f>
        <v>21.362984541417674</v>
      </c>
      <c r="AI32" s="214">
        <f>IF(SUM(AF32:AH32)&gt;0,SUM(AF32:AH32),"")</f>
        <v>21.362984541417674</v>
      </c>
      <c r="AJ32" s="181">
        <v>2</v>
      </c>
      <c r="AK32" s="255">
        <f>AI32*AJ32</f>
        <v>42.72596908283535</v>
      </c>
      <c r="AL32" s="256">
        <f t="shared" si="12"/>
        <v>7477.044589496186</v>
      </c>
      <c r="AM32" s="241"/>
      <c r="AN32" s="242"/>
      <c r="AO32" s="241"/>
    </row>
    <row r="33" spans="1:41" s="130" customFormat="1" ht="48" customHeight="1">
      <c r="A33" s="294">
        <v>24</v>
      </c>
      <c r="B33" s="201" t="s">
        <v>111</v>
      </c>
      <c r="C33" s="202">
        <v>8</v>
      </c>
      <c r="D33" s="201" t="s">
        <v>132</v>
      </c>
      <c r="E33" s="203" t="str">
        <f>IF(ISNUMBER(C33),IF(C33&lt;=units!$L$7,units!$L$8,IF(C33&lt;=units!$N$7,units!$M$8,IF(C33&gt;units!$O$8,"OXI",units!$N$8))),"--")</f>
        <v>TAXI</v>
      </c>
      <c r="F33" s="210">
        <v>12</v>
      </c>
      <c r="G33" s="211">
        <v>0</v>
      </c>
      <c r="H33" s="212">
        <v>0</v>
      </c>
      <c r="I33" s="218">
        <v>12</v>
      </c>
      <c r="J33" s="279"/>
      <c r="K33" s="276">
        <f>(units!$B$4*(F33*1.2*units!$B$23+G33*1.2*units!$D$23+H33*1.2*units!$E$23))+(F33*1.2*units!$B$31+G33*1.2*units!$D$31+H33*1.2*units!$E$31)+(F33*1.2*units!$B$35+G33*1.2*units!$D$35+H33*1.2*units!$E$35)</f>
        <v>18.65010572307692</v>
      </c>
      <c r="L33" s="213">
        <f>units!$F$8*((F33*1.2/units!$B$19)*60+((G33*1.2/units!$D$19)*60)+((H33*1.2/units!$E$19)*60))/60</f>
        <v>7.771794871794872</v>
      </c>
      <c r="M33" s="213">
        <f>units!$H$8*((F33*1.2/units!$B$19)*60+((G33*1.2/units!$D$19)*60)+((H33*1.2/units!$E$19)*60))/60</f>
        <v>14.545454545454543</v>
      </c>
      <c r="N33" s="213">
        <f t="shared" si="1"/>
        <v>10.241838785081583</v>
      </c>
      <c r="O33" s="213">
        <f t="shared" si="2"/>
        <v>7.6813790888111875</v>
      </c>
      <c r="P33" s="214">
        <f t="shared" si="3"/>
        <v>58.8905730142191</v>
      </c>
      <c r="Q33" s="215"/>
      <c r="R33" s="213">
        <f>(F33*1.2*units!$B$36+G33*1.2*units!$D$36+H33*1.2*units!$E$36)+(F33*1.2*units!$B$32+G33*1.2*units!$D$32+H33*1.2*units!$E$32)+(units!$B$4*(F33*1.2*units!$B$24+G33*1.2*units!$D$24+H33*1.2*units!$E$24))</f>
        <v>9.06395206153846</v>
      </c>
      <c r="S33" s="213">
        <f>units!$F$9*(((F33*1.2/units!$B$20)*60)+((G33*1.2/units!$D$20)*60)+((H33*1.2/units!$E$20)*60))/60</f>
        <v>4.291666666666666</v>
      </c>
      <c r="T33" s="213">
        <f>units!$H$9*(((F33*1.2/units!$B$20)*60)+((G33*1.2/units!$D$20)*60)+((H33*1.2/units!$E$20)*60))/60</f>
        <v>12.121212121212121</v>
      </c>
      <c r="U33" s="213">
        <f t="shared" si="4"/>
        <v>6.369207712354312</v>
      </c>
      <c r="V33" s="213">
        <f t="shared" si="5"/>
        <v>4.776905784265733</v>
      </c>
      <c r="W33" s="216">
        <f t="shared" si="6"/>
        <v>36.62294434603729</v>
      </c>
      <c r="X33" s="215"/>
      <c r="Y33" s="213">
        <f>(units!$B$4*(units!$B$25*F33*1.2+units!$D$25*G33*1.2+units!$E$25*H33*1.2)+(F33*1.2*units!$B$33+G33*1.2*units!$D$33+H33*1.2*units!$E$33)+(F33*1.2*units!$B$37+G33*1.2*units!$D$37+H33*1.2*units!$E$37))</f>
        <v>3.1159110461538457</v>
      </c>
      <c r="Z33" s="213">
        <f>units!$F$10*(((F33*1.2/units!$B$21)*60)+((G33*1.2/units!$D$21)*60)+((H33*1.2/units!$E$21)*60))/60</f>
        <v>0.6012820512820514</v>
      </c>
      <c r="AA33" s="213">
        <f>units!$H$10*(((F33*1.2/units!$B$21)*60)+((G33*1.2/units!$D$21)*60)+((H33*1.2/units!$E$21)*60))/60</f>
        <v>6.0606060606060606</v>
      </c>
      <c r="AB33" s="213">
        <f t="shared" si="7"/>
        <v>2.4444497895104895</v>
      </c>
      <c r="AC33" s="213">
        <f t="shared" si="8"/>
        <v>1.8333373421328671</v>
      </c>
      <c r="AD33" s="214">
        <f t="shared" si="9"/>
        <v>14.055586289685316</v>
      </c>
      <c r="AE33" s="148"/>
      <c r="AF33" s="214">
        <f>IF(E33=units!$N$8,P33,"")</f>
      </c>
      <c r="AG33" s="214">
        <f>IF(E33=units!$M$8,W33,"")</f>
      </c>
      <c r="AH33" s="214">
        <f>IF(E33=units!$L$8,AD33,"")</f>
        <v>14.055586289685316</v>
      </c>
      <c r="AI33" s="214">
        <f t="shared" si="10"/>
        <v>14.055586289685316</v>
      </c>
      <c r="AJ33" s="181">
        <v>4</v>
      </c>
      <c r="AK33" s="255">
        <f t="shared" si="11"/>
        <v>56.22234515874126</v>
      </c>
      <c r="AL33" s="256">
        <f t="shared" si="12"/>
        <v>9838.91040277972</v>
      </c>
      <c r="AM33" s="241"/>
      <c r="AN33" s="242"/>
      <c r="AO33" s="241"/>
    </row>
    <row r="34" spans="1:41" s="130" customFormat="1" ht="15">
      <c r="A34" s="294">
        <v>25</v>
      </c>
      <c r="B34" s="201" t="s">
        <v>111</v>
      </c>
      <c r="C34" s="202">
        <v>2</v>
      </c>
      <c r="D34" s="201" t="s">
        <v>126</v>
      </c>
      <c r="E34" s="203" t="str">
        <f>IF(ISNUMBER(C34),IF(C34&lt;=units!$L$7,units!$L$8,IF(C34&lt;=units!$N$7,units!$M$8,IF(C34&gt;units!$O$8,"OXI",units!$N$8))),"--")</f>
        <v>TAXI</v>
      </c>
      <c r="F34" s="210">
        <v>0</v>
      </c>
      <c r="G34" s="211">
        <v>0</v>
      </c>
      <c r="H34" s="212">
        <v>14</v>
      </c>
      <c r="I34" s="218">
        <v>14</v>
      </c>
      <c r="J34" s="279"/>
      <c r="K34" s="276">
        <f>(units!$B$4*(F34*1.2*units!$B$23+G34*1.2*units!$D$23+H34*1.2*units!$E$23))+(F34*1.2*units!$B$31+G34*1.2*units!$D$31+H34*1.2*units!$E$31)+(F34*1.2*units!$B$35+G34*1.2*units!$D$35+H34*1.2*units!$E$35)</f>
        <v>21.44431126153846</v>
      </c>
      <c r="L34" s="213">
        <f>units!$F$8*((F34*1.2/units!$B$19)*60+((G34*1.2/units!$D$19)*60)+((H34*1.2/units!$E$19)*60))/60</f>
        <v>3.8858974358974363</v>
      </c>
      <c r="M34" s="213">
        <f>units!$H$8*((F34*1.2/units!$B$19)*60+((G34*1.2/units!$D$19)*60)+((H34*1.2/units!$E$19)*60))/60</f>
        <v>7.2727272727272725</v>
      </c>
      <c r="N34" s="213">
        <f t="shared" si="1"/>
        <v>8.150733992540792</v>
      </c>
      <c r="O34" s="213">
        <f t="shared" si="2"/>
        <v>6.113050494405594</v>
      </c>
      <c r="P34" s="214">
        <f t="shared" si="3"/>
        <v>46.86672045710955</v>
      </c>
      <c r="Q34" s="209"/>
      <c r="R34" s="213">
        <f>(F34*1.2*units!$B$36+G34*1.2*units!$D$36+H34*1.2*units!$E$36)+(F34*1.2*units!$B$32+G34*1.2*units!$D$32+H34*1.2*units!$E$32)+(units!$B$4*(F34*1.2*units!$B$24+G34*1.2*units!$D$24+H34*1.2*units!$E$24))</f>
        <v>9.464257476923077</v>
      </c>
      <c r="S34" s="213">
        <f>units!$F$9*(((F34*1.2/units!$B$20)*60)+((G34*1.2/units!$D$20)*60)+((H34*1.2/units!$E$20)*60))/60</f>
        <v>2.575</v>
      </c>
      <c r="T34" s="213">
        <f>units!$H$9*(((F34*1.2/units!$B$20)*60)+((G34*1.2/units!$D$20)*60)+((H34*1.2/units!$E$20)*60))/60</f>
        <v>7.2727272727272725</v>
      </c>
      <c r="U34" s="213">
        <f t="shared" si="4"/>
        <v>4.827996187412587</v>
      </c>
      <c r="V34" s="213">
        <f t="shared" si="5"/>
        <v>3.6209971405594406</v>
      </c>
      <c r="W34" s="214">
        <f t="shared" si="6"/>
        <v>27.760978077622376</v>
      </c>
      <c r="X34" s="209"/>
      <c r="Y34" s="213">
        <f>(units!$B$4*(units!$B$25*F34*1.2+units!$D$25*G34*1.2+units!$E$25*H34*1.2)+(F34*1.2*units!$B$33+G34*1.2*units!$D$33+H34*1.2*units!$E$33)+(F34*1.2*units!$B$37+G34*1.2*units!$D$37+H34*1.2*units!$E$37))</f>
        <v>3.731562369230769</v>
      </c>
      <c r="Z34" s="213">
        <f>units!$F$10*(((F34*1.2/units!$B$21)*60)+((G34*1.2/units!$D$21)*60)+((H34*1.2/units!$E$21)*60))/60</f>
        <v>0.46766381766381776</v>
      </c>
      <c r="AA34" s="213">
        <f>units!$H$10*(((F34*1.2/units!$B$21)*60)+((G34*1.2/units!$D$21)*60)+((H34*1.2/units!$E$21)*60))/60</f>
        <v>4.7138047138047146</v>
      </c>
      <c r="AB34" s="213">
        <f t="shared" si="7"/>
        <v>2.2282577251748252</v>
      </c>
      <c r="AC34" s="213">
        <f t="shared" si="8"/>
        <v>1.6711932938811187</v>
      </c>
      <c r="AD34" s="214">
        <f t="shared" si="9"/>
        <v>12.812481919755244</v>
      </c>
      <c r="AE34" s="217"/>
      <c r="AF34" s="214">
        <f>IF(E34=units!$N$8,P34,"")</f>
      </c>
      <c r="AG34" s="214">
        <f>IF(E34=units!$M$8,W34,"")</f>
      </c>
      <c r="AH34" s="214">
        <f>IF(E34=units!$L$8,AD34,"")</f>
        <v>12.812481919755244</v>
      </c>
      <c r="AI34" s="214">
        <f t="shared" si="10"/>
        <v>12.812481919755244</v>
      </c>
      <c r="AJ34" s="181">
        <v>2</v>
      </c>
      <c r="AK34" s="255">
        <f t="shared" si="11"/>
        <v>25.62496383951049</v>
      </c>
      <c r="AL34" s="256">
        <f t="shared" si="12"/>
        <v>4484.368671914335</v>
      </c>
      <c r="AM34" s="241"/>
      <c r="AN34" s="242"/>
      <c r="AO34" s="241"/>
    </row>
    <row r="35" spans="1:41" ht="75">
      <c r="A35" s="294">
        <v>26</v>
      </c>
      <c r="B35" s="201" t="s">
        <v>244</v>
      </c>
      <c r="C35" s="202">
        <v>4</v>
      </c>
      <c r="D35" s="201" t="s">
        <v>127</v>
      </c>
      <c r="E35" s="203" t="str">
        <f>IF(ISNUMBER(C35),IF(C35&lt;=units!$L$7,units!$L$8,IF(C35&lt;=units!$N$7,units!$M$8,IF(C35&gt;units!$O$8,"OXI",units!$N$8))),"--")</f>
        <v>TAXI</v>
      </c>
      <c r="F35" s="210">
        <v>0</v>
      </c>
      <c r="G35" s="211">
        <v>0</v>
      </c>
      <c r="H35" s="212">
        <v>48</v>
      </c>
      <c r="I35" s="218">
        <f t="shared" si="0"/>
        <v>48</v>
      </c>
      <c r="J35" s="279"/>
      <c r="K35" s="276">
        <f>(units!$B$4*(F35*1.2*units!$B$23+G35*1.2*units!$D$23+H35*1.2*units!$E$23))+(F35*1.2*units!$B$31+G35*1.2*units!$D$31+H35*1.2*units!$E$31)+(F35*1.2*units!$B$35+G35*1.2*units!$D$35+H35*1.2*units!$E$35)</f>
        <v>73.5233528967033</v>
      </c>
      <c r="L35" s="213">
        <f>units!$F$8*((F35*1.2/units!$B$19)*60+((G35*1.2/units!$D$19)*60)+((H35*1.2/units!$E$19)*60))/60</f>
        <v>13.323076923076924</v>
      </c>
      <c r="M35" s="213">
        <f>units!$H$8*((F35*1.2/units!$B$19)*60+((G35*1.2/units!$D$19)*60)+((H35*1.2/units!$E$19)*60))/60</f>
        <v>24.935064935064933</v>
      </c>
      <c r="N35" s="213">
        <f t="shared" si="1"/>
        <v>27.94537368871129</v>
      </c>
      <c r="O35" s="213">
        <f t="shared" si="2"/>
        <v>20.959030266533464</v>
      </c>
      <c r="P35" s="214">
        <f t="shared" si="3"/>
        <v>160.6858987100899</v>
      </c>
      <c r="Q35" s="215"/>
      <c r="R35" s="213">
        <f>(F35*1.2*units!$B$36+G35*1.2*units!$D$36+H35*1.2*units!$E$36)+(F35*1.2*units!$B$32+G35*1.2*units!$D$32+H35*1.2*units!$E$32)+(units!$B$4*(F35*1.2*units!$B$24+G35*1.2*units!$D$24+H35*1.2*units!$E$24))</f>
        <v>32.448882778021975</v>
      </c>
      <c r="S35" s="213">
        <f>units!$F$9*(((F35*1.2/units!$B$20)*60)+((G35*1.2/units!$D$20)*60)+((H35*1.2/units!$E$20)*60))/60</f>
        <v>8.828571428571427</v>
      </c>
      <c r="T35" s="213">
        <f>units!$H$9*(((F35*1.2/units!$B$20)*60)+((G35*1.2/units!$D$20)*60)+((H35*1.2/units!$E$20)*60))/60</f>
        <v>24.935064935064933</v>
      </c>
      <c r="U35" s="213">
        <f t="shared" si="4"/>
        <v>16.553129785414583</v>
      </c>
      <c r="V35" s="213">
        <f t="shared" si="5"/>
        <v>12.414847339060938</v>
      </c>
      <c r="W35" s="216">
        <f t="shared" si="6"/>
        <v>95.18049626613386</v>
      </c>
      <c r="X35" s="215"/>
      <c r="Y35" s="213">
        <f>(units!$B$4*(units!$B$25*F35*1.2+units!$D$25*G35*1.2+units!$E$25*H35*1.2)+(F35*1.2*units!$B$33+G35*1.2*units!$D$33+H35*1.2*units!$E$33)+(F35*1.2*units!$B$37+G35*1.2*units!$D$37+H35*1.2*units!$E$37))</f>
        <v>12.793928123076922</v>
      </c>
      <c r="Z35" s="213">
        <f>units!$F$10*(((F35*1.2/units!$B$21)*60)+((G35*1.2/units!$D$21)*60)+((H35*1.2/units!$E$21)*60))/60</f>
        <v>1.6034188034188035</v>
      </c>
      <c r="AA35" s="213">
        <f>units!$H$10*(((F35*1.2/units!$B$21)*60)+((G35*1.2/units!$D$21)*60)+((H35*1.2/units!$E$21)*60))/60</f>
        <v>16.16161616161616</v>
      </c>
      <c r="AB35" s="213">
        <f t="shared" si="7"/>
        <v>7.639740772027971</v>
      </c>
      <c r="AC35" s="213">
        <f t="shared" si="8"/>
        <v>5.7298055790209785</v>
      </c>
      <c r="AD35" s="214">
        <f t="shared" si="9"/>
        <v>43.928509439160834</v>
      </c>
      <c r="AE35" s="148"/>
      <c r="AF35" s="214">
        <f>IF(E35=units!$N$8,P35,"")</f>
      </c>
      <c r="AG35" s="214">
        <f>IF(E35=units!$M$8,W35,"")</f>
      </c>
      <c r="AH35" s="214">
        <f>IF(E35=units!$L$8,AD35,"")</f>
        <v>43.928509439160834</v>
      </c>
      <c r="AI35" s="214">
        <f t="shared" si="10"/>
        <v>43.928509439160834</v>
      </c>
      <c r="AJ35" s="181">
        <v>12</v>
      </c>
      <c r="AK35" s="255">
        <f t="shared" si="11"/>
        <v>527.14211326993</v>
      </c>
      <c r="AL35" s="256">
        <f t="shared" si="12"/>
        <v>92249.86982223774</v>
      </c>
      <c r="AM35" s="144"/>
      <c r="AN35" s="243"/>
      <c r="AO35" s="241"/>
    </row>
    <row r="36" spans="1:41" ht="30">
      <c r="A36" s="294">
        <v>27</v>
      </c>
      <c r="B36" s="201" t="s">
        <v>252</v>
      </c>
      <c r="C36" s="232">
        <v>4</v>
      </c>
      <c r="D36" s="201" t="s">
        <v>253</v>
      </c>
      <c r="E36" s="203" t="str">
        <f>IF(ISNUMBER(C36),IF(C36&lt;=units!$L$7,units!$L$8,IF(C36&lt;=units!$N$7,units!$M$8,IF(C36&gt;units!$O$8,"OXI",units!$N$8))),"--")</f>
        <v>TAXI</v>
      </c>
      <c r="F36" s="210">
        <v>22</v>
      </c>
      <c r="G36" s="211">
        <v>0</v>
      </c>
      <c r="H36" s="212">
        <v>0</v>
      </c>
      <c r="I36" s="218">
        <f t="shared" si="0"/>
        <v>22</v>
      </c>
      <c r="J36" s="279"/>
      <c r="K36" s="276">
        <f>(units!$B$4*(F36*1.2*units!$B$23+G36*1.2*units!$D$23+H36*1.2*units!$E$23))+(F36*1.2*units!$B$31+G36*1.2*units!$D$31+H36*1.2*units!$E$31)+(F36*1.2*units!$B$35+G36*1.2*units!$D$35+H36*1.2*units!$E$35)</f>
        <v>34.19186049230769</v>
      </c>
      <c r="L36" s="213">
        <f>units!$F$8*((F36*1.2/units!$B$19)*60+((G36*1.2/units!$D$19)*60)+((H36*1.2/units!$E$19)*60))/60</f>
        <v>14.2482905982906</v>
      </c>
      <c r="M36" s="213">
        <f>units!$H$8*((F36*1.2/units!$B$19)*60+((G36*1.2/units!$D$19)*60)+((H36*1.2/units!$E$19)*60))/60</f>
        <v>26.666666666666668</v>
      </c>
      <c r="N36" s="213">
        <f t="shared" si="1"/>
        <v>18.77670443931624</v>
      </c>
      <c r="O36" s="213">
        <f t="shared" si="2"/>
        <v>14.082528329487179</v>
      </c>
      <c r="P36" s="214">
        <f t="shared" si="3"/>
        <v>107.96605052606837</v>
      </c>
      <c r="Q36" s="209"/>
      <c r="R36" s="213">
        <f>(F36*1.2*units!$B$36+G36*1.2*units!$D$36+H36*1.2*units!$E$36)+(F36*1.2*units!$B$32+G36*1.2*units!$D$32+H36*1.2*units!$E$32)+(units!$B$4*(F36*1.2*units!$B$24+G36*1.2*units!$D$24+H36*1.2*units!$E$24))</f>
        <v>16.617245446153845</v>
      </c>
      <c r="S36" s="213">
        <f>units!$F$9*(((F36*1.2/units!$B$20)*60)+((G36*1.2/units!$D$20)*60)+((H36*1.2/units!$E$20)*60))/60</f>
        <v>7.868055555555555</v>
      </c>
      <c r="T36" s="213">
        <f>units!$H$9*(((F36*1.2/units!$B$20)*60)+((G36*1.2/units!$D$20)*60)+((H36*1.2/units!$E$20)*60))/60</f>
        <v>22.222222222222225</v>
      </c>
      <c r="U36" s="213">
        <f t="shared" si="4"/>
        <v>11.676880805982908</v>
      </c>
      <c r="V36" s="213">
        <f t="shared" si="5"/>
        <v>8.75766060448718</v>
      </c>
      <c r="W36" s="214">
        <f t="shared" si="6"/>
        <v>67.14206463440172</v>
      </c>
      <c r="X36" s="209"/>
      <c r="Y36" s="213">
        <f>(units!$B$4*(units!$B$25*F36*1.2+units!$D$25*G36*1.2+units!$E$25*H36*1.2)+(F36*1.2*units!$B$33+G36*1.2*units!$D$33+H36*1.2*units!$E$33)+(F36*1.2*units!$B$37+G36*1.2*units!$D$37+H36*1.2*units!$E$37))</f>
        <v>5.712503584615384</v>
      </c>
      <c r="Z36" s="213">
        <f>units!$F$10*(((F36*1.2/units!$B$21)*60)+((G36*1.2/units!$D$21)*60)+((H36*1.2/units!$E$21)*60))/60</f>
        <v>1.1023504273504274</v>
      </c>
      <c r="AA36" s="213">
        <f>units!$H$10*(((F36*1.2/units!$B$21)*60)+((G36*1.2/units!$D$21)*60)+((H36*1.2/units!$E$21)*60))/60</f>
        <v>11.11111111111111</v>
      </c>
      <c r="AB36" s="213">
        <f t="shared" si="7"/>
        <v>4.48149128076923</v>
      </c>
      <c r="AC36" s="213">
        <f t="shared" si="8"/>
        <v>3.3611184605769227</v>
      </c>
      <c r="AD36" s="214">
        <f t="shared" si="9"/>
        <v>25.768574864423073</v>
      </c>
      <c r="AE36" s="217"/>
      <c r="AF36" s="214">
        <f>IF(E36=units!$N$8,P36,"")</f>
      </c>
      <c r="AG36" s="214">
        <f>IF(E36=units!$M$8,W36,"")</f>
      </c>
      <c r="AH36" s="214">
        <f>IF(E36=units!$L$8,AD36,"")</f>
        <v>25.768574864423073</v>
      </c>
      <c r="AI36" s="214">
        <f t="shared" si="10"/>
        <v>25.768574864423073</v>
      </c>
      <c r="AJ36" s="181">
        <v>12</v>
      </c>
      <c r="AK36" s="255">
        <f t="shared" si="11"/>
        <v>309.2228983730769</v>
      </c>
      <c r="AL36" s="256">
        <f t="shared" si="12"/>
        <v>54114.00721528845</v>
      </c>
      <c r="AM36" s="144"/>
      <c r="AN36" s="243"/>
      <c r="AO36" s="241"/>
    </row>
    <row r="37" spans="1:41" ht="15">
      <c r="A37" s="294">
        <v>28</v>
      </c>
      <c r="B37" s="219" t="s">
        <v>112</v>
      </c>
      <c r="C37" s="202">
        <v>3</v>
      </c>
      <c r="D37" s="201" t="s">
        <v>245</v>
      </c>
      <c r="E37" s="203" t="str">
        <f>IF(ISNUMBER(C37),IF(C37&lt;=units!$L$7,units!$L$8,IF(C37&lt;=units!$N$7,units!$M$8,IF(C37&gt;units!$O$8,"OXI",units!$N$8))),"--")</f>
        <v>TAXI</v>
      </c>
      <c r="F37" s="210">
        <v>0</v>
      </c>
      <c r="G37" s="211">
        <v>0</v>
      </c>
      <c r="H37" s="212">
        <v>10</v>
      </c>
      <c r="I37" s="218">
        <f t="shared" si="0"/>
        <v>10</v>
      </c>
      <c r="J37" s="279"/>
      <c r="K37" s="276">
        <f>(units!$B$4*(F37*1.2*units!$B$23+G37*1.2*units!$D$23+H37*1.2*units!$E$23))+(F37*1.2*units!$B$31+G37*1.2*units!$D$31+H37*1.2*units!$E$31)+(F37*1.2*units!$B$35+G37*1.2*units!$D$35+H37*1.2*units!$E$35)</f>
        <v>15.317365186813188</v>
      </c>
      <c r="L37" s="213">
        <f>units!$F$8*((F37*1.2/units!$B$19)*60+((G37*1.2/units!$D$19)*60)+((H37*1.2/units!$E$19)*60))/60</f>
        <v>2.7756410256410264</v>
      </c>
      <c r="M37" s="213">
        <f>units!$H$8*((F37*1.2/units!$B$19)*60+((G37*1.2/units!$D$19)*60)+((H37*1.2/units!$E$19)*60))/60</f>
        <v>5.194805194805196</v>
      </c>
      <c r="N37" s="213">
        <f t="shared" si="1"/>
        <v>5.821952851814852</v>
      </c>
      <c r="O37" s="213">
        <f t="shared" si="2"/>
        <v>4.366464638861139</v>
      </c>
      <c r="P37" s="214">
        <f t="shared" si="3"/>
        <v>33.4762288979354</v>
      </c>
      <c r="Q37" s="215"/>
      <c r="R37" s="213">
        <f>(F37*1.2*units!$B$36+G37*1.2*units!$D$36+H37*1.2*units!$E$36)+(F37*1.2*units!$B$32+G37*1.2*units!$D$32+H37*1.2*units!$E$32)+(units!$B$4*(F37*1.2*units!$B$24+G37*1.2*units!$D$24+H37*1.2*units!$E$24))</f>
        <v>6.760183912087912</v>
      </c>
      <c r="S37" s="213">
        <f>units!$F$9*(((F37*1.2/units!$B$20)*60)+((G37*1.2/units!$D$20)*60)+((H37*1.2/units!$E$20)*60))/60</f>
        <v>1.8392857142857144</v>
      </c>
      <c r="T37" s="213">
        <f>units!$H$9*(((F37*1.2/units!$B$20)*60)+((G37*1.2/units!$D$20)*60)+((H37*1.2/units!$E$20)*60))/60</f>
        <v>5.194805194805196</v>
      </c>
      <c r="U37" s="213">
        <f t="shared" si="4"/>
        <v>3.448568705294705</v>
      </c>
      <c r="V37" s="213">
        <f t="shared" si="5"/>
        <v>2.5864265289710286</v>
      </c>
      <c r="W37" s="216">
        <f t="shared" si="6"/>
        <v>19.829270055444553</v>
      </c>
      <c r="X37" s="215"/>
      <c r="Y37" s="213">
        <f>(units!$B$4*(units!$B$25*F37*1.2+units!$D$25*G37*1.2+units!$E$25*H37*1.2)+(F37*1.2*units!$B$33+G37*1.2*units!$D$33+H37*1.2*units!$E$33)+(F37*1.2*units!$B$37+G37*1.2*units!$D$37+H37*1.2*units!$E$37))</f>
        <v>2.665401692307692</v>
      </c>
      <c r="Z37" s="213">
        <f>units!$F$10*(((F37*1.2/units!$B$21)*60)+((G37*1.2/units!$D$21)*60)+((H37*1.2/units!$E$21)*60))/60</f>
        <v>0.3340455840455841</v>
      </c>
      <c r="AA37" s="213">
        <f>units!$H$10*(((F37*1.2/units!$B$21)*60)+((G37*1.2/units!$D$21)*60)+((H37*1.2/units!$E$21)*60))/60</f>
        <v>3.367003367003367</v>
      </c>
      <c r="AB37" s="213">
        <f t="shared" si="7"/>
        <v>1.5916126608391608</v>
      </c>
      <c r="AC37" s="213">
        <f t="shared" si="8"/>
        <v>1.1937094956293706</v>
      </c>
      <c r="AD37" s="214">
        <f t="shared" si="9"/>
        <v>9.151772799825174</v>
      </c>
      <c r="AE37" s="148"/>
      <c r="AF37" s="214">
        <f>IF(E37=units!$N$8,P37,"")</f>
      </c>
      <c r="AG37" s="214">
        <f>IF(E37=units!$M$8,W37,"")</f>
      </c>
      <c r="AH37" s="214">
        <f>IF(E37=units!$L$8,AD37,"")</f>
        <v>9.151772799825174</v>
      </c>
      <c r="AI37" s="214">
        <f t="shared" si="10"/>
        <v>9.151772799825174</v>
      </c>
      <c r="AJ37" s="180">
        <v>2</v>
      </c>
      <c r="AK37" s="255">
        <f t="shared" si="11"/>
        <v>18.30354559965035</v>
      </c>
      <c r="AL37" s="256">
        <f t="shared" si="12"/>
        <v>3203.120479938811</v>
      </c>
      <c r="AM37" s="144"/>
      <c r="AN37" s="242"/>
      <c r="AO37" s="241"/>
    </row>
    <row r="38" spans="1:41" ht="15">
      <c r="A38" s="294">
        <v>29</v>
      </c>
      <c r="B38" s="219" t="s">
        <v>112</v>
      </c>
      <c r="C38" s="202">
        <v>4</v>
      </c>
      <c r="D38" s="201" t="s">
        <v>246</v>
      </c>
      <c r="E38" s="203" t="str">
        <f>IF(ISNUMBER(C38),IF(C38&lt;=units!$L$7,units!$L$8,IF(C38&lt;=units!$N$7,units!$M$8,IF(C38&gt;units!$O$8,"OXI",units!$N$8))),"--")</f>
        <v>TAXI</v>
      </c>
      <c r="F38" s="210">
        <v>12</v>
      </c>
      <c r="G38" s="211">
        <v>0</v>
      </c>
      <c r="H38" s="212">
        <v>0</v>
      </c>
      <c r="I38" s="218">
        <f t="shared" si="0"/>
        <v>12</v>
      </c>
      <c r="J38" s="279"/>
      <c r="K38" s="276">
        <f>(units!$B$4*(F38*1.2*units!$B$23+G38*1.2*units!$D$23+H38*1.2*units!$E$23))+(F38*1.2*units!$B$31+G38*1.2*units!$D$31+H38*1.2*units!$E$31)+(F38*1.2*units!$B$35+G38*1.2*units!$D$35+H38*1.2*units!$E$35)</f>
        <v>18.65010572307692</v>
      </c>
      <c r="L38" s="213">
        <f>units!$F$8*((F38*1.2/units!$B$19)*60+((G38*1.2/units!$D$19)*60)+((H38*1.2/units!$E$19)*60))/60</f>
        <v>7.771794871794872</v>
      </c>
      <c r="M38" s="213">
        <f>units!$H$8*((F38*1.2/units!$B$19)*60+((G38*1.2/units!$D$19)*60)+((H38*1.2/units!$E$19)*60))/60</f>
        <v>14.545454545454543</v>
      </c>
      <c r="N38" s="213">
        <f t="shared" si="1"/>
        <v>10.241838785081583</v>
      </c>
      <c r="O38" s="213">
        <f t="shared" si="2"/>
        <v>7.6813790888111875</v>
      </c>
      <c r="P38" s="214">
        <f t="shared" si="3"/>
        <v>58.8905730142191</v>
      </c>
      <c r="Q38" s="209"/>
      <c r="R38" s="213">
        <f>(F38*1.2*units!$B$36+G38*1.2*units!$D$36+H38*1.2*units!$E$36)+(F38*1.2*units!$B$32+G38*1.2*units!$D$32+H38*1.2*units!$E$32)+(units!$B$4*(F38*1.2*units!$B$24+G38*1.2*units!$D$24+H38*1.2*units!$E$24))</f>
        <v>9.06395206153846</v>
      </c>
      <c r="S38" s="213">
        <f>units!$F$9*(((F38*1.2/units!$B$20)*60)+((G38*1.2/units!$D$20)*60)+((H38*1.2/units!$E$20)*60))/60</f>
        <v>4.291666666666666</v>
      </c>
      <c r="T38" s="213">
        <f>units!$H$9*(((F38*1.2/units!$B$20)*60)+((G38*1.2/units!$D$20)*60)+((H38*1.2/units!$E$20)*60))/60</f>
        <v>12.121212121212121</v>
      </c>
      <c r="U38" s="213">
        <f t="shared" si="4"/>
        <v>6.369207712354312</v>
      </c>
      <c r="V38" s="213">
        <f t="shared" si="5"/>
        <v>4.776905784265733</v>
      </c>
      <c r="W38" s="214">
        <f t="shared" si="6"/>
        <v>36.62294434603729</v>
      </c>
      <c r="X38" s="209"/>
      <c r="Y38" s="213">
        <f>(units!$B$4*(units!$B$25*F38*1.2+units!$D$25*G38*1.2+units!$E$25*H38*1.2)+(F38*1.2*units!$B$33+G38*1.2*units!$D$33+H38*1.2*units!$E$33)+(F38*1.2*units!$B$37+G38*1.2*units!$D$37+H38*1.2*units!$E$37))</f>
        <v>3.1159110461538457</v>
      </c>
      <c r="Z38" s="213">
        <f>units!$F$10*(((F38*1.2/units!$B$21)*60)+((G38*1.2/units!$D$21)*60)+((H38*1.2/units!$E$21)*60))/60</f>
        <v>0.6012820512820514</v>
      </c>
      <c r="AA38" s="213">
        <f>units!$H$10*(((F38*1.2/units!$B$21)*60)+((G38*1.2/units!$D$21)*60)+((H38*1.2/units!$E$21)*60))/60</f>
        <v>6.0606060606060606</v>
      </c>
      <c r="AB38" s="213">
        <f t="shared" si="7"/>
        <v>2.4444497895104895</v>
      </c>
      <c r="AC38" s="213">
        <f t="shared" si="8"/>
        <v>1.8333373421328671</v>
      </c>
      <c r="AD38" s="214">
        <f t="shared" si="9"/>
        <v>14.055586289685316</v>
      </c>
      <c r="AE38" s="217"/>
      <c r="AF38" s="214">
        <f>IF(E38=units!$N$8,P38,"")</f>
      </c>
      <c r="AG38" s="214">
        <f>IF(E38=units!$M$8,W38,"")</f>
      </c>
      <c r="AH38" s="214">
        <f>IF(E38=units!$L$8,AD38,"")</f>
        <v>14.055586289685316</v>
      </c>
      <c r="AI38" s="214">
        <f t="shared" si="10"/>
        <v>14.055586289685316</v>
      </c>
      <c r="AJ38" s="180">
        <v>2</v>
      </c>
      <c r="AK38" s="255">
        <f t="shared" si="11"/>
        <v>28.11117257937063</v>
      </c>
      <c r="AL38" s="256">
        <f t="shared" si="12"/>
        <v>4919.45520138986</v>
      </c>
      <c r="AM38" s="144"/>
      <c r="AN38" s="242"/>
      <c r="AO38" s="241"/>
    </row>
    <row r="39" spans="1:41" ht="30">
      <c r="A39" s="294">
        <v>30</v>
      </c>
      <c r="B39" s="219" t="s">
        <v>247</v>
      </c>
      <c r="C39" s="202">
        <v>5</v>
      </c>
      <c r="D39" s="201" t="s">
        <v>248</v>
      </c>
      <c r="E39" s="203" t="str">
        <f>IF(ISNUMBER(C39),IF(C39&lt;=units!$L$7,units!$L$8,IF(C39&lt;=units!$N$7,units!$M$8,IF(C39&gt;units!$O$8,"OXI",units!$N$8))),"--")</f>
        <v>TAXI</v>
      </c>
      <c r="F39" s="210">
        <v>0</v>
      </c>
      <c r="G39" s="211">
        <v>0</v>
      </c>
      <c r="H39" s="212">
        <v>29</v>
      </c>
      <c r="I39" s="218">
        <f t="shared" si="0"/>
        <v>29</v>
      </c>
      <c r="J39" s="279"/>
      <c r="K39" s="276">
        <f>(units!$B$4*(F39*1.2*units!$B$23+G39*1.2*units!$D$23+H39*1.2*units!$E$23))+(F39*1.2*units!$B$31+G39*1.2*units!$D$31+H39*1.2*units!$E$31)+(F39*1.2*units!$B$35+G39*1.2*units!$D$35+H39*1.2*units!$E$35)</f>
        <v>44.42035904175824</v>
      </c>
      <c r="L39" s="213">
        <f>units!$F$8*((F39*1.2/units!$B$19)*60+((G39*1.2/units!$D$19)*60)+((H39*1.2/units!$E$19)*60))/60</f>
        <v>8.049358974358976</v>
      </c>
      <c r="M39" s="213">
        <f>units!$H$8*((F39*1.2/units!$B$19)*60+((G39*1.2/units!$D$19)*60)+((H39*1.2/units!$E$19)*60))/60</f>
        <v>15.064935064935064</v>
      </c>
      <c r="N39" s="213">
        <f t="shared" si="1"/>
        <v>16.88366327026307</v>
      </c>
      <c r="O39" s="213">
        <f t="shared" si="2"/>
        <v>12.662747452697303</v>
      </c>
      <c r="P39" s="214">
        <f t="shared" si="3"/>
        <v>97.08106380401266</v>
      </c>
      <c r="Q39" s="215"/>
      <c r="R39" s="213">
        <f>(F39*1.2*units!$B$36+G39*1.2*units!$D$36+H39*1.2*units!$E$36)+(F39*1.2*units!$B$32+G39*1.2*units!$D$32+H39*1.2*units!$E$32)+(units!$B$4*(F39*1.2*units!$B$24+G39*1.2*units!$D$24+H39*1.2*units!$E$24))</f>
        <v>19.604533345054943</v>
      </c>
      <c r="S39" s="213">
        <f>units!$F$9*(((F39*1.2/units!$B$20)*60)+((G39*1.2/units!$D$20)*60)+((H39*1.2/units!$E$20)*60))/60</f>
        <v>5.3339285714285705</v>
      </c>
      <c r="T39" s="213">
        <f>units!$H$9*(((F39*1.2/units!$B$20)*60)+((G39*1.2/units!$D$20)*60)+((H39*1.2/units!$E$20)*60))/60</f>
        <v>15.064935064935064</v>
      </c>
      <c r="U39" s="213">
        <f t="shared" si="4"/>
        <v>10.000849245354644</v>
      </c>
      <c r="V39" s="213">
        <f t="shared" si="5"/>
        <v>7.500636934015983</v>
      </c>
      <c r="W39" s="216">
        <f t="shared" si="6"/>
        <v>57.504883160789205</v>
      </c>
      <c r="X39" s="215"/>
      <c r="Y39" s="213">
        <f>(units!$B$4*(units!$B$25*F39*1.2+units!$D$25*G39*1.2+units!$E$25*H39*1.2)+(F39*1.2*units!$B$33+G39*1.2*units!$D$33+H39*1.2*units!$E$33)+(F39*1.2*units!$B$37+G39*1.2*units!$D$37+H39*1.2*units!$E$37))</f>
        <v>7.729664907692307</v>
      </c>
      <c r="Z39" s="213">
        <f>units!$F$10*(((F39*1.2/units!$B$21)*60)+((G39*1.2/units!$D$21)*60)+((H39*1.2/units!$E$21)*60))/60</f>
        <v>0.9687321937321939</v>
      </c>
      <c r="AA39" s="213">
        <f>units!$H$10*(((F39*1.2/units!$B$21)*60)+((G39*1.2/units!$D$21)*60)+((H39*1.2/units!$E$21)*60))/60</f>
        <v>9.764309764309763</v>
      </c>
      <c r="AB39" s="213">
        <f t="shared" si="7"/>
        <v>4.6156767164335655</v>
      </c>
      <c r="AC39" s="213">
        <f t="shared" si="8"/>
        <v>3.461757537325174</v>
      </c>
      <c r="AD39" s="214">
        <f t="shared" si="9"/>
        <v>26.540141119493</v>
      </c>
      <c r="AE39" s="148"/>
      <c r="AF39" s="214">
        <f>IF(E39=units!$N$8,P39,"")</f>
      </c>
      <c r="AG39" s="214">
        <f>IF(E39=units!$M$8,W39,"")</f>
      </c>
      <c r="AH39" s="214">
        <f>IF(E39=units!$L$8,AD39,"")</f>
        <v>26.540141119493</v>
      </c>
      <c r="AI39" s="214">
        <f t="shared" si="10"/>
        <v>26.540141119493</v>
      </c>
      <c r="AJ39" s="180">
        <v>4</v>
      </c>
      <c r="AK39" s="255">
        <f t="shared" si="11"/>
        <v>106.160564477972</v>
      </c>
      <c r="AL39" s="256">
        <f t="shared" si="12"/>
        <v>18578.098783645102</v>
      </c>
      <c r="AM39" s="144"/>
      <c r="AN39" s="242"/>
      <c r="AO39" s="241"/>
    </row>
    <row r="40" spans="1:41" ht="45">
      <c r="A40" s="294">
        <v>31</v>
      </c>
      <c r="B40" s="219" t="s">
        <v>249</v>
      </c>
      <c r="C40" s="202">
        <v>4</v>
      </c>
      <c r="D40" s="201" t="s">
        <v>250</v>
      </c>
      <c r="E40" s="203" t="str">
        <f>IF(ISNUMBER(C40),IF(C40&lt;=units!$L$7,units!$L$8,IF(C40&lt;=units!$N$7,units!$M$8,IF(C40&gt;units!$O$8,"OXI",units!$N$8))),"--")</f>
        <v>TAXI</v>
      </c>
      <c r="F40" s="210">
        <v>0</v>
      </c>
      <c r="G40" s="211">
        <v>0</v>
      </c>
      <c r="H40" s="212">
        <v>36</v>
      </c>
      <c r="I40" s="218">
        <f t="shared" si="0"/>
        <v>36</v>
      </c>
      <c r="J40" s="279"/>
      <c r="K40" s="276">
        <f>(units!$B$4*(F40*1.2*units!$B$23+G40*1.2*units!$D$23+H40*1.2*units!$E$23))+(F40*1.2*units!$B$31+G40*1.2*units!$D$31+H40*1.2*units!$E$31)+(F40*1.2*units!$B$35+G40*1.2*units!$D$35+H40*1.2*units!$E$35)</f>
        <v>55.14251467252747</v>
      </c>
      <c r="L40" s="213">
        <f>units!$F$8*((F40*1.2/units!$B$19)*60+((G40*1.2/units!$D$19)*60)+((H40*1.2/units!$E$19)*60))/60</f>
        <v>9.992307692307692</v>
      </c>
      <c r="M40" s="213">
        <f>units!$H$8*((F40*1.2/units!$B$19)*60+((G40*1.2/units!$D$19)*60)+((H40*1.2/units!$E$19)*60))/60</f>
        <v>18.7012987012987</v>
      </c>
      <c r="N40" s="213">
        <f t="shared" si="1"/>
        <v>20.959030266533464</v>
      </c>
      <c r="O40" s="213">
        <f t="shared" si="2"/>
        <v>15.719272699900097</v>
      </c>
      <c r="P40" s="214">
        <f t="shared" si="3"/>
        <v>120.51442403256742</v>
      </c>
      <c r="Q40" s="209"/>
      <c r="R40" s="213">
        <f>(F40*1.2*units!$B$36+G40*1.2*units!$D$36+H40*1.2*units!$E$36)+(F40*1.2*units!$B$32+G40*1.2*units!$D$32+H40*1.2*units!$E$32)+(units!$B$4*(F40*1.2*units!$B$24+G40*1.2*units!$D$24+H40*1.2*units!$E$24))</f>
        <v>24.33666208351648</v>
      </c>
      <c r="S40" s="213">
        <f>units!$F$9*(((F40*1.2/units!$B$20)*60)+((G40*1.2/units!$D$20)*60)+((H40*1.2/units!$E$20)*60))/60</f>
        <v>6.62142857142857</v>
      </c>
      <c r="T40" s="213">
        <f>units!$H$9*(((F40*1.2/units!$B$20)*60)+((G40*1.2/units!$D$20)*60)+((H40*1.2/units!$E$20)*60))/60</f>
        <v>18.7012987012987</v>
      </c>
      <c r="U40" s="213">
        <f t="shared" si="4"/>
        <v>12.414847339060938</v>
      </c>
      <c r="V40" s="213">
        <f t="shared" si="5"/>
        <v>9.311135504295704</v>
      </c>
      <c r="W40" s="214">
        <f t="shared" si="6"/>
        <v>71.3853721996004</v>
      </c>
      <c r="X40" s="209"/>
      <c r="Y40" s="213">
        <f>(units!$B$4*(units!$B$25*F40*1.2+units!$D$25*G40*1.2+units!$E$25*H40*1.2)+(F40*1.2*units!$B$33+G40*1.2*units!$D$33+H40*1.2*units!$E$33)+(F40*1.2*units!$B$37+G40*1.2*units!$D$37+H40*1.2*units!$E$37))</f>
        <v>9.595446092307691</v>
      </c>
      <c r="Z40" s="213">
        <f>units!$F$10*(((F40*1.2/units!$B$21)*60)+((G40*1.2/units!$D$21)*60)+((H40*1.2/units!$E$21)*60))/60</f>
        <v>1.2025641025641027</v>
      </c>
      <c r="AA40" s="213">
        <f>units!$H$10*(((F40*1.2/units!$B$21)*60)+((G40*1.2/units!$D$21)*60)+((H40*1.2/units!$E$21)*60))/60</f>
        <v>12.121212121212121</v>
      </c>
      <c r="AB40" s="213">
        <f t="shared" si="7"/>
        <v>5.7298055790209785</v>
      </c>
      <c r="AC40" s="213">
        <f t="shared" si="8"/>
        <v>4.297354184265734</v>
      </c>
      <c r="AD40" s="214">
        <f t="shared" si="9"/>
        <v>32.94638207937063</v>
      </c>
      <c r="AE40" s="217"/>
      <c r="AF40" s="214">
        <f>IF(E40=units!$N$8,P40,"")</f>
      </c>
      <c r="AG40" s="214">
        <f>IF(E40=units!$M$8,W40,"")</f>
      </c>
      <c r="AH40" s="214">
        <f>IF(E40=units!$L$8,AD40,"")</f>
        <v>32.94638207937063</v>
      </c>
      <c r="AI40" s="214">
        <f t="shared" si="10"/>
        <v>32.94638207937063</v>
      </c>
      <c r="AJ40" s="180">
        <v>2</v>
      </c>
      <c r="AK40" s="255">
        <f t="shared" si="11"/>
        <v>65.89276415874126</v>
      </c>
      <c r="AL40" s="256">
        <f t="shared" si="12"/>
        <v>11531.23372777972</v>
      </c>
      <c r="AM40" s="144"/>
      <c r="AN40" s="242"/>
      <c r="AO40" s="241"/>
    </row>
    <row r="41" spans="1:41" ht="45">
      <c r="A41" s="294">
        <v>32</v>
      </c>
      <c r="B41" s="201" t="s">
        <v>251</v>
      </c>
      <c r="C41" s="202">
        <v>24</v>
      </c>
      <c r="D41" s="201" t="s">
        <v>129</v>
      </c>
      <c r="E41" s="203" t="str">
        <f>IF(ISNUMBER(C41),IF(C41&lt;=units!$L$7,units!$L$8,IF(C41&lt;=units!$N$7,units!$M$8,IF(C41&gt;units!$O$8,"OXI",units!$N$8))),"--")</f>
        <v>BUS</v>
      </c>
      <c r="F41" s="210">
        <v>6</v>
      </c>
      <c r="G41" s="211">
        <v>0</v>
      </c>
      <c r="H41" s="212">
        <v>0</v>
      </c>
      <c r="I41" s="218">
        <f t="shared" si="0"/>
        <v>6</v>
      </c>
      <c r="J41" s="279"/>
      <c r="K41" s="276">
        <f>(units!$B$4*(F41*1.2*units!$B$23+G41*1.2*units!$D$23+H41*1.2*units!$E$23))+(F41*1.2*units!$B$31+G41*1.2*units!$D$31+H41*1.2*units!$E$31)+(F41*1.2*units!$B$35+G41*1.2*units!$D$35+H41*1.2*units!$E$35)</f>
        <v>9.32505286153846</v>
      </c>
      <c r="L41" s="213">
        <f>units!$F$8*((F41*1.2/units!$B$19)*60+((G41*1.2/units!$D$19)*60)+((H41*1.2/units!$E$19)*60))/60</f>
        <v>3.885897435897436</v>
      </c>
      <c r="M41" s="213">
        <f>units!$H$8*((F41*1.2/units!$B$19)*60+((G41*1.2/units!$D$19)*60)+((H41*1.2/units!$E$19)*60))/60</f>
        <v>7.272727272727272</v>
      </c>
      <c r="N41" s="213">
        <f t="shared" si="1"/>
        <v>5.120919392540792</v>
      </c>
      <c r="O41" s="213">
        <f t="shared" si="2"/>
        <v>3.8406895444055937</v>
      </c>
      <c r="P41" s="214">
        <f t="shared" si="3"/>
        <v>29.44528650710955</v>
      </c>
      <c r="Q41" s="215"/>
      <c r="R41" s="213">
        <f>(F41*1.2*units!$B$36+G41*1.2*units!$D$36+H41*1.2*units!$E$36)+(F41*1.2*units!$B$32+G41*1.2*units!$D$32+H41*1.2*units!$E$32)+(units!$B$4*(F41*1.2*units!$B$24+G41*1.2*units!$D$24+H41*1.2*units!$E$24))</f>
        <v>4.53197603076923</v>
      </c>
      <c r="S41" s="213">
        <f>units!$F$9*(((F41*1.2/units!$B$20)*60)+((G41*1.2/units!$D$20)*60)+((H41*1.2/units!$E$20)*60))/60</f>
        <v>2.145833333333333</v>
      </c>
      <c r="T41" s="213">
        <f>units!$H$9*(((F41*1.2/units!$B$20)*60)+((G41*1.2/units!$D$20)*60)+((H41*1.2/units!$E$20)*60))/60</f>
        <v>6.0606060606060606</v>
      </c>
      <c r="U41" s="213">
        <f t="shared" si="4"/>
        <v>3.184603856177156</v>
      </c>
      <c r="V41" s="213">
        <f t="shared" si="5"/>
        <v>2.3884528921328667</v>
      </c>
      <c r="W41" s="216">
        <f t="shared" si="6"/>
        <v>18.311472173018647</v>
      </c>
      <c r="X41" s="215"/>
      <c r="Y41" s="213">
        <f>(units!$B$4*(units!$B$25*F41*1.2+units!$D$25*G41*1.2+units!$E$25*H41*1.2)+(F41*1.2*units!$B$33+G41*1.2*units!$D$33+H41*1.2*units!$E$33)+(F41*1.2*units!$B$37+G41*1.2*units!$D$37+H41*1.2*units!$E$37))</f>
        <v>1.5579555230769229</v>
      </c>
      <c r="Z41" s="213">
        <f>units!$F$10*(((F41*1.2/units!$B$21)*60)+((G41*1.2/units!$D$21)*60)+((H41*1.2/units!$E$21)*60))/60</f>
        <v>0.3006410256410257</v>
      </c>
      <c r="AA41" s="213">
        <f>units!$H$10*(((F41*1.2/units!$B$21)*60)+((G41*1.2/units!$D$21)*60)+((H41*1.2/units!$E$21)*60))/60</f>
        <v>3.0303030303030303</v>
      </c>
      <c r="AB41" s="213">
        <f t="shared" si="7"/>
        <v>1.2222248947552448</v>
      </c>
      <c r="AC41" s="213">
        <f t="shared" si="8"/>
        <v>0.9166686710664336</v>
      </c>
      <c r="AD41" s="214">
        <f t="shared" si="9"/>
        <v>7.027793144842658</v>
      </c>
      <c r="AE41" s="148"/>
      <c r="AF41" s="214">
        <f>IF(E41=units!$N$8,P41,"")</f>
        <v>29.44528650710955</v>
      </c>
      <c r="AG41" s="214">
        <f>IF(E41=units!$M$8,W41,"")</f>
      </c>
      <c r="AH41" s="214">
        <f>IF(E41=units!$L$8,AD41,"")</f>
      </c>
      <c r="AI41" s="214">
        <f t="shared" si="10"/>
        <v>29.44528650710955</v>
      </c>
      <c r="AJ41" s="180">
        <v>2</v>
      </c>
      <c r="AK41" s="255">
        <f t="shared" si="11"/>
        <v>58.8905730142191</v>
      </c>
      <c r="AL41" s="256">
        <f t="shared" si="12"/>
        <v>10305.850277488342</v>
      </c>
      <c r="AM41" s="144"/>
      <c r="AN41" s="242"/>
      <c r="AO41" s="241"/>
    </row>
    <row r="42" spans="1:41" ht="15">
      <c r="A42" s="294">
        <v>33</v>
      </c>
      <c r="B42" s="201" t="s">
        <v>113</v>
      </c>
      <c r="C42" s="202">
        <v>2</v>
      </c>
      <c r="D42" s="201" t="s">
        <v>130</v>
      </c>
      <c r="E42" s="203" t="str">
        <f>IF(ISNUMBER(C42),IF(C42&lt;=units!$L$7,units!$L$8,IF(C42&lt;=units!$N$7,units!$M$8,IF(C42&gt;units!$O$8,"OXI",units!$N$8))),"--")</f>
        <v>TAXI</v>
      </c>
      <c r="F42" s="210">
        <v>0</v>
      </c>
      <c r="G42" s="211">
        <v>0</v>
      </c>
      <c r="H42" s="212">
        <v>22</v>
      </c>
      <c r="I42" s="218">
        <f aca="true" t="shared" si="13" ref="I42:I68">IF(SUM(F42:H42)=0,"--",SUM(F42:H42))</f>
        <v>22</v>
      </c>
      <c r="J42" s="279"/>
      <c r="K42" s="276">
        <f>(units!$B$4*(F42*1.2*units!$B$23+G42*1.2*units!$D$23+H42*1.2*units!$E$23))+(F42*1.2*units!$B$31+G42*1.2*units!$D$31+H42*1.2*units!$E$31)+(F42*1.2*units!$B$35+G42*1.2*units!$D$35+H42*1.2*units!$E$35)</f>
        <v>33.69820341098901</v>
      </c>
      <c r="L42" s="213">
        <f>units!$F$8*((F42*1.2/units!$B$19)*60+((G42*1.2/units!$D$19)*60)+((H42*1.2/units!$E$19)*60))/60</f>
        <v>6.106410256410257</v>
      </c>
      <c r="M42" s="213">
        <f>units!$H$8*((F42*1.2/units!$B$19)*60+((G42*1.2/units!$D$19)*60)+((H42*1.2/units!$E$19)*60))/60</f>
        <v>11.428571428571427</v>
      </c>
      <c r="N42" s="213">
        <f aca="true" t="shared" si="14" ref="N42:N69">0.25*(K42+L42+M42)</f>
        <v>12.808296273992674</v>
      </c>
      <c r="O42" s="213">
        <f aca="true" t="shared" si="15" ref="O42:O69">0.15*(K42+L42+M42+N42)</f>
        <v>9.606222205494506</v>
      </c>
      <c r="P42" s="214">
        <f aca="true" t="shared" si="16" ref="P42:P69">SUM(K42:O42)</f>
        <v>73.64770357545788</v>
      </c>
      <c r="Q42" s="209"/>
      <c r="R42" s="213">
        <f>(F42*1.2*units!$B$36+G42*1.2*units!$D$36+H42*1.2*units!$E$36)+(F42*1.2*units!$B$32+G42*1.2*units!$D$32+H42*1.2*units!$E$32)+(units!$B$4*(F42*1.2*units!$B$24+G42*1.2*units!$D$24+H42*1.2*units!$E$24))</f>
        <v>14.872404606593406</v>
      </c>
      <c r="S42" s="213">
        <f>units!$F$9*(((F42*1.2/units!$B$20)*60)+((G42*1.2/units!$D$20)*60)+((H42*1.2/units!$E$20)*60))/60</f>
        <v>4.046428571428571</v>
      </c>
      <c r="T42" s="213">
        <f>units!$H$9*(((F42*1.2/units!$B$20)*60)+((G42*1.2/units!$D$20)*60)+((H42*1.2/units!$E$20)*60))/60</f>
        <v>11.428571428571427</v>
      </c>
      <c r="U42" s="213">
        <f aca="true" t="shared" si="17" ref="U42:U69">0.25*(R42+S42+T42)</f>
        <v>7.586851151648351</v>
      </c>
      <c r="V42" s="213">
        <f aca="true" t="shared" si="18" ref="V42:V69">0.15*(R42+S42+T42+U42)</f>
        <v>5.690138363736263</v>
      </c>
      <c r="W42" s="214">
        <f aca="true" t="shared" si="19" ref="W42:W69">SUM(R42:V42)</f>
        <v>43.624394121978014</v>
      </c>
      <c r="X42" s="209"/>
      <c r="Y42" s="213">
        <f>(units!$B$4*(units!$B$25*F42*1.2+units!$D$25*G42*1.2+units!$E$25*H42*1.2)+(F42*1.2*units!$B$33+G42*1.2*units!$D$33+H42*1.2*units!$E$33)+(F42*1.2*units!$B$37+G42*1.2*units!$D$37+H42*1.2*units!$E$37))</f>
        <v>5.863883723076923</v>
      </c>
      <c r="Z42" s="213">
        <f>units!$F$10*(((F42*1.2/units!$B$21)*60)+((G42*1.2/units!$D$21)*60)+((H42*1.2/units!$E$21)*60))/60</f>
        <v>0.734900284900285</v>
      </c>
      <c r="AA42" s="213">
        <f>units!$H$10*(((F42*1.2/units!$B$21)*60)+((G42*1.2/units!$D$21)*60)+((H42*1.2/units!$E$21)*60))/60</f>
        <v>7.407407407407407</v>
      </c>
      <c r="AB42" s="213">
        <f aca="true" t="shared" si="20" ref="AB42:AB69">0.25*(Y42+Z42+AA42)</f>
        <v>3.501547853846154</v>
      </c>
      <c r="AC42" s="213">
        <f aca="true" t="shared" si="21" ref="AC42:AC69">0.15*(Y42+Z42+AA42+AB42)</f>
        <v>2.626160890384616</v>
      </c>
      <c r="AD42" s="214">
        <f aca="true" t="shared" si="22" ref="AD42:AD69">SUM(Y42:AC42)</f>
        <v>20.133900159615386</v>
      </c>
      <c r="AE42" s="217"/>
      <c r="AF42" s="214">
        <f>IF(E42=units!$N$8,P42,"")</f>
      </c>
      <c r="AG42" s="214">
        <f>IF(E42=units!$M$8,W42,"")</f>
      </c>
      <c r="AH42" s="214">
        <f>IF(E42=units!$L$8,AD42,"")</f>
        <v>20.133900159615386</v>
      </c>
      <c r="AI42" s="214">
        <f aca="true" t="shared" si="23" ref="AI42:AI69">IF(SUM(AF42:AH42)&gt;0,SUM(AF42:AH42),"")</f>
        <v>20.133900159615386</v>
      </c>
      <c r="AJ42" s="180">
        <v>2</v>
      </c>
      <c r="AK42" s="255">
        <f aca="true" t="shared" si="24" ref="AK42:AK69">AI42*AJ42</f>
        <v>40.26780031923077</v>
      </c>
      <c r="AL42" s="256">
        <f t="shared" si="12"/>
        <v>7046.865055865385</v>
      </c>
      <c r="AM42" s="144"/>
      <c r="AN42" s="242"/>
      <c r="AO42" s="241"/>
    </row>
    <row r="43" spans="1:47" s="139" customFormat="1" ht="15">
      <c r="A43" s="294">
        <v>34</v>
      </c>
      <c r="B43" s="201" t="s">
        <v>254</v>
      </c>
      <c r="C43" s="202">
        <v>3</v>
      </c>
      <c r="D43" s="201" t="s">
        <v>131</v>
      </c>
      <c r="E43" s="203" t="str">
        <f>IF(ISNUMBER(C43),IF(C43&lt;=units!$L$7,units!$L$8,IF(C43&lt;=units!$N$7,units!$M$8,IF(C43&gt;units!$O$8,"OXI",units!$N$8))),"--")</f>
        <v>TAXI</v>
      </c>
      <c r="F43" s="210">
        <v>0</v>
      </c>
      <c r="G43" s="211">
        <v>0</v>
      </c>
      <c r="H43" s="212">
        <v>46</v>
      </c>
      <c r="I43" s="218">
        <f t="shared" si="13"/>
        <v>46</v>
      </c>
      <c r="J43" s="279"/>
      <c r="K43" s="276">
        <f>(units!$B$4*(F43*1.2*units!$B$23+G43*1.2*units!$D$23+H43*1.2*units!$E$23))+(F43*1.2*units!$B$31+G43*1.2*units!$D$31+H43*1.2*units!$E$31)+(F43*1.2*units!$B$35+G43*1.2*units!$D$35+H43*1.2*units!$E$35)</f>
        <v>70.45987985934066</v>
      </c>
      <c r="L43" s="213">
        <f>units!$F$8*((F43*1.2/units!$B$19)*60+((G43*1.2/units!$D$19)*60)+((H43*1.2/units!$E$19)*60))/60</f>
        <v>12.767948717948718</v>
      </c>
      <c r="M43" s="213">
        <f>units!$H$8*((F43*1.2/units!$B$19)*60+((G43*1.2/units!$D$19)*60)+((H43*1.2/units!$E$19)*60))/60</f>
        <v>23.896103896103895</v>
      </c>
      <c r="N43" s="213">
        <f t="shared" si="14"/>
        <v>26.780983118348317</v>
      </c>
      <c r="O43" s="213">
        <f t="shared" si="15"/>
        <v>20.085737338761238</v>
      </c>
      <c r="P43" s="214">
        <f t="shared" si="16"/>
        <v>153.99065293050285</v>
      </c>
      <c r="Q43" s="209"/>
      <c r="R43" s="213">
        <f>(F43*1.2*units!$B$36+G43*1.2*units!$D$36+H43*1.2*units!$E$36)+(F43*1.2*units!$B$32+G43*1.2*units!$D$32+H43*1.2*units!$E$32)+(units!$B$4*(F43*1.2*units!$B$24+G43*1.2*units!$D$24+H43*1.2*units!$E$24))</f>
        <v>31.096845995604394</v>
      </c>
      <c r="S43" s="213">
        <f>units!$F$9*(((F43*1.2/units!$B$20)*60)+((G43*1.2/units!$D$20)*60)+((H43*1.2/units!$E$20)*60))/60</f>
        <v>8.460714285714284</v>
      </c>
      <c r="T43" s="213">
        <f>units!$H$9*(((F43*1.2/units!$B$20)*60)+((G43*1.2/units!$D$20)*60)+((H43*1.2/units!$E$20)*60))/60</f>
        <v>23.896103896103895</v>
      </c>
      <c r="U43" s="213">
        <f t="shared" si="17"/>
        <v>15.863416044355644</v>
      </c>
      <c r="V43" s="213">
        <f t="shared" si="18"/>
        <v>11.897562033266732</v>
      </c>
      <c r="W43" s="214">
        <f t="shared" si="19"/>
        <v>91.21464225504495</v>
      </c>
      <c r="X43" s="209"/>
      <c r="Y43" s="213">
        <f>(units!$B$4*(units!$B$25*F43*1.2+units!$D$25*G43*1.2+units!$E$25*H43*1.2)+(F43*1.2*units!$B$33+G43*1.2*units!$D$33+H43*1.2*units!$E$33)+(F43*1.2*units!$B$37+G43*1.2*units!$D$37+H43*1.2*units!$E$37))</f>
        <v>12.260847784615382</v>
      </c>
      <c r="Z43" s="213">
        <f>units!$F$10*(((F43*1.2/units!$B$21)*60)+((G43*1.2/units!$D$21)*60)+((H43*1.2/units!$E$21)*60))/60</f>
        <v>1.5366096866096868</v>
      </c>
      <c r="AA43" s="213">
        <f>units!$H$10*(((F43*1.2/units!$B$21)*60)+((G43*1.2/units!$D$21)*60)+((H43*1.2/units!$E$21)*60))/60</f>
        <v>15.488215488215486</v>
      </c>
      <c r="AB43" s="213">
        <f t="shared" si="20"/>
        <v>7.321418239860138</v>
      </c>
      <c r="AC43" s="213">
        <f t="shared" si="21"/>
        <v>5.491063679895103</v>
      </c>
      <c r="AD43" s="214">
        <f t="shared" si="22"/>
        <v>42.098154879195796</v>
      </c>
      <c r="AE43" s="217"/>
      <c r="AF43" s="214">
        <f>IF(E43=units!$N$8,P43,"")</f>
      </c>
      <c r="AG43" s="214">
        <f>IF(E43=units!$M$8,W43,"")</f>
      </c>
      <c r="AH43" s="214">
        <f>IF(E43=units!$L$8,AD43,"")</f>
        <v>42.098154879195796</v>
      </c>
      <c r="AI43" s="214">
        <f t="shared" si="23"/>
        <v>42.098154879195796</v>
      </c>
      <c r="AJ43" s="180">
        <v>2</v>
      </c>
      <c r="AK43" s="255">
        <f t="shared" si="24"/>
        <v>84.19630975839159</v>
      </c>
      <c r="AL43" s="256">
        <f t="shared" si="12"/>
        <v>14734.354207718528</v>
      </c>
      <c r="AM43" s="142"/>
      <c r="AN43" s="242"/>
      <c r="AO43" s="247"/>
      <c r="AP43" s="142"/>
      <c r="AQ43" s="142"/>
      <c r="AR43" s="142"/>
      <c r="AS43" s="142"/>
      <c r="AT43" s="142"/>
      <c r="AU43" s="142"/>
    </row>
    <row r="44" spans="1:47" s="139" customFormat="1" ht="15.75">
      <c r="A44" s="294">
        <v>35</v>
      </c>
      <c r="B44" s="191" t="s">
        <v>134</v>
      </c>
      <c r="C44" s="182">
        <v>50</v>
      </c>
      <c r="D44" s="226" t="s">
        <v>146</v>
      </c>
      <c r="E44" s="192" t="str">
        <f>IF(ISNUMBER(C44),IF(C44&lt;=units!$L$7,units!$L$8,IF(C44&lt;=units!$N$7,units!$M$8,IF(C44&gt;units!$O$8,"OXI",units!$N$8))),"--")</f>
        <v>BUS</v>
      </c>
      <c r="F44" s="183">
        <v>2</v>
      </c>
      <c r="G44" s="184">
        <v>0</v>
      </c>
      <c r="H44" s="185">
        <v>0</v>
      </c>
      <c r="I44" s="186">
        <f t="shared" si="13"/>
        <v>2</v>
      </c>
      <c r="J44" s="282"/>
      <c r="K44" s="277">
        <f>(units!$B$4*(F44*1.2*units!$B$23+G44*1.2*units!$D$23+H44*1.2*units!$E$23))+(F44*1.2*units!$B$31+G44*1.2*units!$D$31+H44*1.2*units!$E$31)+(F44*1.2*units!$B$35+G44*1.2*units!$D$35+H44*1.2*units!$E$35)</f>
        <v>3.108350953846154</v>
      </c>
      <c r="L44" s="187">
        <f>units!$F$8*((F44*1.2/units!$B$19)*60+((G44*1.2/units!$D$19)*60)+((H44*1.2/units!$E$19)*60))/60</f>
        <v>1.2952991452991456</v>
      </c>
      <c r="M44" s="187">
        <f>units!$H$8*((F44*1.2/units!$B$19)*60+((G44*1.2/units!$D$19)*60)+((H44*1.2/units!$E$19)*60))/60</f>
        <v>2.4242424242424243</v>
      </c>
      <c r="N44" s="187">
        <f t="shared" si="14"/>
        <v>1.7069731308469307</v>
      </c>
      <c r="O44" s="187">
        <f t="shared" si="15"/>
        <v>1.2802298481351981</v>
      </c>
      <c r="P44" s="188">
        <f t="shared" si="16"/>
        <v>9.815095502369852</v>
      </c>
      <c r="Q44" s="227"/>
      <c r="R44" s="187">
        <f>(F44*1.2*units!$B$36+G44*1.2*units!$D$36+H44*1.2*units!$E$36)+(F44*1.2*units!$B$32+G44*1.2*units!$D$32+H44*1.2*units!$E$32)+(units!$B$4*(F44*1.2*units!$B$24+G44*1.2*units!$D$24+H44*1.2*units!$E$24))</f>
        <v>1.5106586769230768</v>
      </c>
      <c r="S44" s="187">
        <f>units!$F$9*(((F44*1.2/units!$B$20)*60)+((G44*1.2/units!$D$20)*60)+((H44*1.2/units!$E$20)*60))/60</f>
        <v>0.7152777777777778</v>
      </c>
      <c r="T44" s="187">
        <f>units!$H$9*(((F44*1.2/units!$B$20)*60)+((G44*1.2/units!$D$20)*60)+((H44*1.2/units!$E$20)*60))/60</f>
        <v>2.0202020202020203</v>
      </c>
      <c r="U44" s="187">
        <f t="shared" si="17"/>
        <v>1.0615346187257186</v>
      </c>
      <c r="V44" s="187">
        <f t="shared" si="18"/>
        <v>0.796150964044289</v>
      </c>
      <c r="W44" s="228">
        <f t="shared" si="19"/>
        <v>6.103824057672882</v>
      </c>
      <c r="X44" s="227"/>
      <c r="Y44" s="187">
        <f>(units!$B$4*(units!$B$25*F44*1.2+units!$D$25*G44*1.2+units!$E$25*H44*1.2)+(F44*1.2*units!$B$33+G44*1.2*units!$D$33+H44*1.2*units!$E$33)+(F44*1.2*units!$B$37+G44*1.2*units!$D$37+H44*1.2*units!$E$37))</f>
        <v>0.5193185076923077</v>
      </c>
      <c r="Z44" s="187">
        <f>units!$F$10*(((F44*1.2/units!$B$21)*60)+((G44*1.2/units!$D$21)*60)+((H44*1.2/units!$E$21)*60))/60</f>
        <v>0.10021367521367523</v>
      </c>
      <c r="AA44" s="187">
        <f>units!$H$10*(((F44*1.2/units!$B$21)*60)+((G44*1.2/units!$D$21)*60)+((H44*1.2/units!$E$21)*60))/60</f>
        <v>1.01010101010101</v>
      </c>
      <c r="AB44" s="187">
        <f t="shared" si="20"/>
        <v>0.4074082982517482</v>
      </c>
      <c r="AC44" s="187">
        <f t="shared" si="21"/>
        <v>0.3055562236888111</v>
      </c>
      <c r="AD44" s="188">
        <f t="shared" si="22"/>
        <v>2.342597714947552</v>
      </c>
      <c r="AE44" s="229"/>
      <c r="AF44" s="188">
        <f>IF(E44=units!$N$8,P44,"")</f>
        <v>9.815095502369852</v>
      </c>
      <c r="AG44" s="188">
        <f>IF(E44=units!$M$8,W44,"")</f>
      </c>
      <c r="AH44" s="188">
        <f>IF(E44=units!$L$8,AD44,"")</f>
      </c>
      <c r="AI44" s="188">
        <f t="shared" si="23"/>
        <v>9.815095502369852</v>
      </c>
      <c r="AJ44" s="180">
        <v>2</v>
      </c>
      <c r="AK44" s="255">
        <f t="shared" si="24"/>
        <v>19.630191004739704</v>
      </c>
      <c r="AL44" s="256">
        <f t="shared" si="12"/>
        <v>3435.2834258294483</v>
      </c>
      <c r="AM44" s="144"/>
      <c r="AN44" s="243"/>
      <c r="AO44" s="247"/>
      <c r="AP44" s="142"/>
      <c r="AQ44" s="142"/>
      <c r="AR44" s="142"/>
      <c r="AS44" s="142"/>
      <c r="AT44" s="142"/>
      <c r="AU44" s="142"/>
    </row>
    <row r="45" spans="1:47" s="139" customFormat="1" ht="15.75">
      <c r="A45" s="294">
        <v>36</v>
      </c>
      <c r="B45" s="191" t="s">
        <v>134</v>
      </c>
      <c r="C45" s="182">
        <v>38</v>
      </c>
      <c r="D45" s="226" t="s">
        <v>146</v>
      </c>
      <c r="E45" s="192" t="str">
        <f>IF(ISNUMBER(C45),IF(C45&lt;=units!$L$7,units!$L$8,IF(C45&lt;=units!$N$7,units!$M$8,IF(C45&gt;units!$O$8,"OXI",units!$N$8))),"--")</f>
        <v>BUS</v>
      </c>
      <c r="F45" s="183">
        <v>2</v>
      </c>
      <c r="G45" s="184">
        <v>0</v>
      </c>
      <c r="H45" s="185">
        <v>0</v>
      </c>
      <c r="I45" s="186">
        <f t="shared" si="13"/>
        <v>2</v>
      </c>
      <c r="J45" s="282"/>
      <c r="K45" s="277">
        <f>(units!$B$4*(F45*1.2*units!$B$23+G45*1.2*units!$D$23+H45*1.2*units!$E$23))+(F45*1.2*units!$B$31+G45*1.2*units!$D$31+H45*1.2*units!$E$31)+(F45*1.2*units!$B$35+G45*1.2*units!$D$35+H45*1.2*units!$E$35)</f>
        <v>3.108350953846154</v>
      </c>
      <c r="L45" s="187">
        <f>units!$F$8*((F45*1.2/units!$B$19)*60+((G45*1.2/units!$D$19)*60)+((H45*1.2/units!$E$19)*60))/60</f>
        <v>1.2952991452991456</v>
      </c>
      <c r="M45" s="187">
        <f>units!$H$8*((F45*1.2/units!$B$19)*60+((G45*1.2/units!$D$19)*60)+((H45*1.2/units!$E$19)*60))/60</f>
        <v>2.4242424242424243</v>
      </c>
      <c r="N45" s="187">
        <f t="shared" si="14"/>
        <v>1.7069731308469307</v>
      </c>
      <c r="O45" s="187">
        <f t="shared" si="15"/>
        <v>1.2802298481351981</v>
      </c>
      <c r="P45" s="188">
        <f t="shared" si="16"/>
        <v>9.815095502369852</v>
      </c>
      <c r="Q45" s="227"/>
      <c r="R45" s="187">
        <f>(F45*1.2*units!$B$36+G45*1.2*units!$D$36+H45*1.2*units!$E$36)+(F45*1.2*units!$B$32+G45*1.2*units!$D$32+H45*1.2*units!$E$32)+(units!$B$4*(F45*1.2*units!$B$24+G45*1.2*units!$D$24+H45*1.2*units!$E$24))</f>
        <v>1.5106586769230768</v>
      </c>
      <c r="S45" s="187">
        <f>units!$F$9*(((F45*1.2/units!$B$20)*60)+((G45*1.2/units!$D$20)*60)+((H45*1.2/units!$E$20)*60))/60</f>
        <v>0.7152777777777778</v>
      </c>
      <c r="T45" s="187">
        <f>units!$H$9*(((F45*1.2/units!$B$20)*60)+((G45*1.2/units!$D$20)*60)+((H45*1.2/units!$E$20)*60))/60</f>
        <v>2.0202020202020203</v>
      </c>
      <c r="U45" s="187">
        <f t="shared" si="17"/>
        <v>1.0615346187257186</v>
      </c>
      <c r="V45" s="187">
        <f t="shared" si="18"/>
        <v>0.796150964044289</v>
      </c>
      <c r="W45" s="228">
        <f t="shared" si="19"/>
        <v>6.103824057672882</v>
      </c>
      <c r="X45" s="227"/>
      <c r="Y45" s="187">
        <f>(units!$B$4*(units!$B$25*F45*1.2+units!$D$25*G45*1.2+units!$E$25*H45*1.2)+(F45*1.2*units!$B$33+G45*1.2*units!$D$33+H45*1.2*units!$E$33)+(F45*1.2*units!$B$37+G45*1.2*units!$D$37+H45*1.2*units!$E$37))</f>
        <v>0.5193185076923077</v>
      </c>
      <c r="Z45" s="187">
        <f>units!$F$10*(((F45*1.2/units!$B$21)*60)+((G45*1.2/units!$D$21)*60)+((H45*1.2/units!$E$21)*60))/60</f>
        <v>0.10021367521367523</v>
      </c>
      <c r="AA45" s="187">
        <f>units!$H$10*(((F45*1.2/units!$B$21)*60)+((G45*1.2/units!$D$21)*60)+((H45*1.2/units!$E$21)*60))/60</f>
        <v>1.01010101010101</v>
      </c>
      <c r="AB45" s="187">
        <f t="shared" si="20"/>
        <v>0.4074082982517482</v>
      </c>
      <c r="AC45" s="187">
        <f t="shared" si="21"/>
        <v>0.3055562236888111</v>
      </c>
      <c r="AD45" s="188">
        <f t="shared" si="22"/>
        <v>2.342597714947552</v>
      </c>
      <c r="AE45" s="229"/>
      <c r="AF45" s="188">
        <f>IF(E45=units!$N$8,P45,"")</f>
        <v>9.815095502369852</v>
      </c>
      <c r="AG45" s="188">
        <f>IF(E45=units!$M$8,W45,"")</f>
      </c>
      <c r="AH45" s="188">
        <f>IF(E45=units!$L$8,AD45,"")</f>
      </c>
      <c r="AI45" s="188">
        <f t="shared" si="23"/>
        <v>9.815095502369852</v>
      </c>
      <c r="AJ45" s="180">
        <v>2</v>
      </c>
      <c r="AK45" s="255">
        <f t="shared" si="24"/>
        <v>19.630191004739704</v>
      </c>
      <c r="AL45" s="256">
        <f t="shared" si="12"/>
        <v>3435.2834258294483</v>
      </c>
      <c r="AM45" s="144"/>
      <c r="AN45" s="243"/>
      <c r="AO45" s="248"/>
      <c r="AP45" s="141"/>
      <c r="AQ45" s="143"/>
      <c r="AR45" s="143"/>
      <c r="AS45" s="143"/>
      <c r="AT45" s="142"/>
      <c r="AU45" s="142"/>
    </row>
    <row r="46" spans="1:47" s="139" customFormat="1" ht="60">
      <c r="A46" s="294">
        <v>37</v>
      </c>
      <c r="B46" s="191" t="s">
        <v>147</v>
      </c>
      <c r="C46" s="182">
        <v>42</v>
      </c>
      <c r="D46" s="226" t="s">
        <v>285</v>
      </c>
      <c r="E46" s="192" t="str">
        <f>IF(ISNUMBER(C46),IF(C46&lt;=units!$L$7,units!$L$8,IF(C46&lt;=units!$N$7,units!$M$8,IF(C46&gt;units!$O$8,"OXI",units!$N$8))),"--")</f>
        <v>BUS</v>
      </c>
      <c r="F46" s="183">
        <v>12</v>
      </c>
      <c r="G46" s="184">
        <v>0</v>
      </c>
      <c r="H46" s="185">
        <v>0</v>
      </c>
      <c r="I46" s="186">
        <f t="shared" si="13"/>
        <v>12</v>
      </c>
      <c r="J46" s="282"/>
      <c r="K46" s="277">
        <f>(units!$B$4*(F46*1.2*units!$B$23+G46*1.2*units!$D$23+H46*1.2*units!$E$23))+(F46*1.2*units!$B$31+G46*1.2*units!$D$31+H46*1.2*units!$E$31)+(F46*1.2*units!$B$35+G46*1.2*units!$D$35+H46*1.2*units!$E$35)</f>
        <v>18.65010572307692</v>
      </c>
      <c r="L46" s="187">
        <f>units!$F$8*((F46*1.2/units!$B$19)*60+((G46*1.2/units!$D$19)*60)+((H46*1.2/units!$E$19)*60))/60</f>
        <v>7.771794871794872</v>
      </c>
      <c r="M46" s="187">
        <f>units!$H$8*((F46*1.2/units!$B$19)*60+((G46*1.2/units!$D$19)*60)+((H46*1.2/units!$E$19)*60))/60</f>
        <v>14.545454545454543</v>
      </c>
      <c r="N46" s="187">
        <f t="shared" si="14"/>
        <v>10.241838785081583</v>
      </c>
      <c r="O46" s="187">
        <f t="shared" si="15"/>
        <v>7.6813790888111875</v>
      </c>
      <c r="P46" s="188">
        <f t="shared" si="16"/>
        <v>58.8905730142191</v>
      </c>
      <c r="Q46" s="227"/>
      <c r="R46" s="187">
        <f>(F46*1.2*units!$B$36+G46*1.2*units!$D$36+H46*1.2*units!$E$36)+(F46*1.2*units!$B$32+G46*1.2*units!$D$32+H46*1.2*units!$E$32)+(units!$B$4*(F46*1.2*units!$B$24+G46*1.2*units!$D$24+H46*1.2*units!$E$24))</f>
        <v>9.06395206153846</v>
      </c>
      <c r="S46" s="187">
        <f>units!$F$9*(((F46*1.2/units!$B$20)*60)+((G46*1.2/units!$D$20)*60)+((H46*1.2/units!$E$20)*60))/60</f>
        <v>4.291666666666666</v>
      </c>
      <c r="T46" s="187">
        <f>units!$H$9*(((F46*1.2/units!$B$20)*60)+((G46*1.2/units!$D$20)*60)+((H46*1.2/units!$E$20)*60))/60</f>
        <v>12.121212121212121</v>
      </c>
      <c r="U46" s="187">
        <f t="shared" si="17"/>
        <v>6.369207712354312</v>
      </c>
      <c r="V46" s="187">
        <f t="shared" si="18"/>
        <v>4.776905784265733</v>
      </c>
      <c r="W46" s="228">
        <f t="shared" si="19"/>
        <v>36.62294434603729</v>
      </c>
      <c r="X46" s="227"/>
      <c r="Y46" s="187">
        <f>(units!$B$4*(units!$B$25*F46*1.2+units!$D$25*G46*1.2+units!$E$25*H46*1.2)+(F46*1.2*units!$B$33+G46*1.2*units!$D$33+H46*1.2*units!$E$33)+(F46*1.2*units!$B$37+G46*1.2*units!$D$37+H46*1.2*units!$E$37))</f>
        <v>3.1159110461538457</v>
      </c>
      <c r="Z46" s="187">
        <f>units!$F$10*(((F46*1.2/units!$B$21)*60)+((G46*1.2/units!$D$21)*60)+((H46*1.2/units!$E$21)*60))/60</f>
        <v>0.6012820512820514</v>
      </c>
      <c r="AA46" s="187">
        <f>units!$H$10*(((F46*1.2/units!$B$21)*60)+((G46*1.2/units!$D$21)*60)+((H46*1.2/units!$E$21)*60))/60</f>
        <v>6.0606060606060606</v>
      </c>
      <c r="AB46" s="187">
        <f t="shared" si="20"/>
        <v>2.4444497895104895</v>
      </c>
      <c r="AC46" s="187">
        <f t="shared" si="21"/>
        <v>1.8333373421328671</v>
      </c>
      <c r="AD46" s="188">
        <f t="shared" si="22"/>
        <v>14.055586289685316</v>
      </c>
      <c r="AE46" s="229"/>
      <c r="AF46" s="188">
        <f>IF(E46=units!$N$8,P46,"")</f>
        <v>58.8905730142191</v>
      </c>
      <c r="AG46" s="188">
        <f>IF(E46=units!$M$8,W46,"")</f>
      </c>
      <c r="AH46" s="188">
        <f>IF(E46=units!$L$8,AD46,"")</f>
      </c>
      <c r="AI46" s="188">
        <f t="shared" si="23"/>
        <v>58.8905730142191</v>
      </c>
      <c r="AJ46" s="180">
        <v>2</v>
      </c>
      <c r="AK46" s="255">
        <f t="shared" si="24"/>
        <v>117.7811460284382</v>
      </c>
      <c r="AL46" s="256">
        <f t="shared" si="12"/>
        <v>20611.700554976684</v>
      </c>
      <c r="AM46" s="144"/>
      <c r="AN46" s="243"/>
      <c r="AO46" s="249"/>
      <c r="AP46" s="141"/>
      <c r="AQ46" s="143"/>
      <c r="AR46" s="143"/>
      <c r="AS46" s="143"/>
      <c r="AT46" s="142"/>
      <c r="AU46" s="142"/>
    </row>
    <row r="47" spans="1:47" s="139" customFormat="1" ht="15.75">
      <c r="A47" s="294">
        <v>38</v>
      </c>
      <c r="B47" s="191" t="s">
        <v>255</v>
      </c>
      <c r="C47" s="182">
        <v>3</v>
      </c>
      <c r="D47" s="191" t="s">
        <v>256</v>
      </c>
      <c r="E47" s="192" t="str">
        <f>IF(ISNUMBER(C47),IF(C47&lt;=units!$L$7,units!$L$8,IF(C47&lt;=units!$N$7,units!$M$8,IF(C47&gt;units!$O$8,"OXI",units!$N$8))),"--")</f>
        <v>TAXI</v>
      </c>
      <c r="F47" s="183">
        <v>5</v>
      </c>
      <c r="G47" s="184">
        <v>0</v>
      </c>
      <c r="H47" s="185">
        <v>0</v>
      </c>
      <c r="I47" s="186">
        <f t="shared" si="13"/>
        <v>5</v>
      </c>
      <c r="J47" s="282"/>
      <c r="K47" s="277">
        <f>(units!$B$4*(F47*1.2*units!$B$23+G47*1.2*units!$D$23+H47*1.2*units!$E$23))+(F47*1.2*units!$B$31+G47*1.2*units!$D$31+H47*1.2*units!$E$31)+(F47*1.2*units!$B$35+G47*1.2*units!$D$35+H47*1.2*units!$E$35)</f>
        <v>7.7708773846153845</v>
      </c>
      <c r="L47" s="187">
        <f>units!$F$8*((F47*1.2/units!$B$19)*60+((G47*1.2/units!$D$19)*60)+((H47*1.2/units!$E$19)*60))/60</f>
        <v>3.2382478632478637</v>
      </c>
      <c r="M47" s="187">
        <f>units!$H$8*((F47*1.2/units!$B$19)*60+((G47*1.2/units!$D$19)*60)+((H47*1.2/units!$E$19)*60))/60</f>
        <v>6.0606060606060606</v>
      </c>
      <c r="N47" s="187">
        <f t="shared" si="14"/>
        <v>4.267432827117327</v>
      </c>
      <c r="O47" s="187">
        <f t="shared" si="15"/>
        <v>3.200574620337995</v>
      </c>
      <c r="P47" s="188">
        <f t="shared" si="16"/>
        <v>24.53773875592463</v>
      </c>
      <c r="Q47" s="189"/>
      <c r="R47" s="187">
        <f>(F47*1.2*units!$B$36+G47*1.2*units!$D$36+H47*1.2*units!$E$36)+(F47*1.2*units!$B$32+G47*1.2*units!$D$32+H47*1.2*units!$E$32)+(units!$B$4*(F47*1.2*units!$B$24+G47*1.2*units!$D$24+H47*1.2*units!$E$24))</f>
        <v>3.776646692307692</v>
      </c>
      <c r="S47" s="187">
        <f>units!$F$9*(((F47*1.2/units!$B$20)*60)+((G47*1.2/units!$D$20)*60)+((H47*1.2/units!$E$20)*60))/60</f>
        <v>1.7881944444444442</v>
      </c>
      <c r="T47" s="187">
        <f>units!$H$9*(((F47*1.2/units!$B$20)*60)+((G47*1.2/units!$D$20)*60)+((H47*1.2/units!$E$20)*60))/60</f>
        <v>5.050505050505051</v>
      </c>
      <c r="U47" s="187">
        <f t="shared" si="17"/>
        <v>2.653836546814297</v>
      </c>
      <c r="V47" s="187">
        <f t="shared" si="18"/>
        <v>1.9903774101107228</v>
      </c>
      <c r="W47" s="188">
        <f t="shared" si="19"/>
        <v>15.259560144182208</v>
      </c>
      <c r="X47" s="189"/>
      <c r="Y47" s="187">
        <f>(units!$B$4*(units!$B$25*F47*1.2+units!$D$25*G47*1.2+units!$E$25*H47*1.2)+(F47*1.2*units!$B$33+G47*1.2*units!$D$33+H47*1.2*units!$E$33)+(F47*1.2*units!$B$37+G47*1.2*units!$D$37+H47*1.2*units!$E$37))</f>
        <v>1.2982962692307691</v>
      </c>
      <c r="Z47" s="187">
        <f>units!$F$10*(((F47*1.2/units!$B$21)*60)+((G47*1.2/units!$D$21)*60)+((H47*1.2/units!$E$21)*60))/60</f>
        <v>0.2505341880341881</v>
      </c>
      <c r="AA47" s="187">
        <f>units!$H$10*(((F47*1.2/units!$B$21)*60)+((G47*1.2/units!$D$21)*60)+((H47*1.2/units!$E$21)*60))/60</f>
        <v>2.525252525252525</v>
      </c>
      <c r="AB47" s="187">
        <f t="shared" si="20"/>
        <v>1.0185207456293706</v>
      </c>
      <c r="AC47" s="187">
        <f t="shared" si="21"/>
        <v>0.7638905592220279</v>
      </c>
      <c r="AD47" s="188">
        <f t="shared" si="22"/>
        <v>5.85649428736888</v>
      </c>
      <c r="AE47" s="190"/>
      <c r="AF47" s="188">
        <f>IF(E47=units!$N$8,P47,"")</f>
      </c>
      <c r="AG47" s="188">
        <f>IF(E47=units!$M$8,W47,"")</f>
      </c>
      <c r="AH47" s="188">
        <f>IF(E47=units!$L$8,AD47,"")</f>
        <v>5.85649428736888</v>
      </c>
      <c r="AI47" s="188">
        <f t="shared" si="23"/>
        <v>5.85649428736888</v>
      </c>
      <c r="AJ47" s="199">
        <v>2</v>
      </c>
      <c r="AK47" s="255">
        <f t="shared" si="24"/>
        <v>11.71298857473776</v>
      </c>
      <c r="AL47" s="256">
        <f t="shared" si="12"/>
        <v>2049.773000579108</v>
      </c>
      <c r="AM47" s="144"/>
      <c r="AN47" s="243"/>
      <c r="AO47" s="247"/>
      <c r="AP47" s="142"/>
      <c r="AQ47" s="142"/>
      <c r="AR47" s="142"/>
      <c r="AS47" s="142"/>
      <c r="AT47" s="142"/>
      <c r="AU47" s="142"/>
    </row>
    <row r="48" spans="1:47" s="139" customFormat="1" ht="60">
      <c r="A48" s="294">
        <v>39</v>
      </c>
      <c r="B48" s="191" t="s">
        <v>257</v>
      </c>
      <c r="C48" s="182">
        <v>54</v>
      </c>
      <c r="D48" s="226" t="s">
        <v>203</v>
      </c>
      <c r="E48" s="192" t="str">
        <f>IF(ISNUMBER(C48),IF(C48&lt;=units!$L$7,units!$L$8,IF(C48&lt;=units!$N$7,units!$M$8,IF(C48&gt;units!$O$8,"OXI",units!$N$8))),"--")</f>
        <v>BUS</v>
      </c>
      <c r="F48" s="183">
        <v>0</v>
      </c>
      <c r="G48" s="184">
        <v>0</v>
      </c>
      <c r="H48" s="185">
        <v>47</v>
      </c>
      <c r="I48" s="186">
        <f t="shared" si="13"/>
        <v>47</v>
      </c>
      <c r="J48" s="282"/>
      <c r="K48" s="277">
        <f>(units!$B$4*(F48*1.2*units!$B$23+G48*1.2*units!$D$23+H48*1.2*units!$E$23))+(F48*1.2*units!$B$31+G48*1.2*units!$D$31+H48*1.2*units!$E$31)+(F48*1.2*units!$B$35+G48*1.2*units!$D$35+H48*1.2*units!$E$35)</f>
        <v>71.99161637802197</v>
      </c>
      <c r="L48" s="187">
        <f>units!$F$8*((F48*1.2/units!$B$19)*60+((G48*1.2/units!$D$19)*60)+((H48*1.2/units!$E$19)*60))/60</f>
        <v>13.04551282051282</v>
      </c>
      <c r="M48" s="187">
        <f>units!$H$8*((F48*1.2/units!$B$19)*60+((G48*1.2/units!$D$19)*60)+((H48*1.2/units!$E$19)*60))/60</f>
        <v>24.415584415584416</v>
      </c>
      <c r="N48" s="187">
        <f t="shared" si="14"/>
        <v>27.363178403529805</v>
      </c>
      <c r="O48" s="187">
        <f t="shared" si="15"/>
        <v>20.52238380264735</v>
      </c>
      <c r="P48" s="188">
        <f t="shared" si="16"/>
        <v>157.33827582029636</v>
      </c>
      <c r="Q48" s="227"/>
      <c r="R48" s="187">
        <f>(F48*1.2*units!$B$36+G48*1.2*units!$D$36+H48*1.2*units!$E$36)+(F48*1.2*units!$B$32+G48*1.2*units!$D$32+H48*1.2*units!$E$32)+(units!$B$4*(F48*1.2*units!$B$24+G48*1.2*units!$D$24+H48*1.2*units!$E$24))</f>
        <v>31.772864386813186</v>
      </c>
      <c r="S48" s="187">
        <f>units!$F$9*(((F48*1.2/units!$B$20)*60)+((G48*1.2/units!$D$20)*60)+((H48*1.2/units!$E$20)*60))/60</f>
        <v>8.644642857142856</v>
      </c>
      <c r="T48" s="187">
        <f>units!$H$9*(((F48*1.2/units!$B$20)*60)+((G48*1.2/units!$D$20)*60)+((H48*1.2/units!$E$20)*60))/60</f>
        <v>24.415584415584416</v>
      </c>
      <c r="U48" s="187">
        <f t="shared" si="17"/>
        <v>16.208272914885114</v>
      </c>
      <c r="V48" s="187">
        <f t="shared" si="18"/>
        <v>12.156204686163836</v>
      </c>
      <c r="W48" s="228">
        <f t="shared" si="19"/>
        <v>93.1975692605894</v>
      </c>
      <c r="X48" s="227"/>
      <c r="Y48" s="187">
        <f>(units!$B$4*(units!$B$25*F48*1.2+units!$D$25*G48*1.2+units!$E$25*H48*1.2)+(F48*1.2*units!$B$33+G48*1.2*units!$D$33+H48*1.2*units!$E$33)+(F48*1.2*units!$B$37+G48*1.2*units!$D$37+H48*1.2*units!$E$37))</f>
        <v>12.527387953846155</v>
      </c>
      <c r="Z48" s="187">
        <f>units!$F$10*(((F48*1.2/units!$B$21)*60)+((G48*1.2/units!$D$21)*60)+((H48*1.2/units!$E$21)*60))/60</f>
        <v>1.5700142450142454</v>
      </c>
      <c r="AA48" s="187">
        <f>units!$H$10*(((F48*1.2/units!$B$21)*60)+((G48*1.2/units!$D$21)*60)+((H48*1.2/units!$E$21)*60))/60</f>
        <v>15.824915824915825</v>
      </c>
      <c r="AB48" s="187">
        <f t="shared" si="20"/>
        <v>7.480579505944057</v>
      </c>
      <c r="AC48" s="187">
        <f t="shared" si="21"/>
        <v>5.610434629458043</v>
      </c>
      <c r="AD48" s="188">
        <f t="shared" si="22"/>
        <v>43.013332159178326</v>
      </c>
      <c r="AE48" s="229"/>
      <c r="AF48" s="188">
        <f>IF(E48=units!$N$8,P48,"")</f>
        <v>157.33827582029636</v>
      </c>
      <c r="AG48" s="188">
        <f>IF(E48=units!$M$8,W48,"")</f>
      </c>
      <c r="AH48" s="188">
        <f>IF(E48=units!$L$8,AD48,"")</f>
      </c>
      <c r="AI48" s="188">
        <f t="shared" si="23"/>
        <v>157.33827582029636</v>
      </c>
      <c r="AJ48" s="199">
        <v>2</v>
      </c>
      <c r="AK48" s="255">
        <f t="shared" si="24"/>
        <v>314.6765516405927</v>
      </c>
      <c r="AL48" s="256">
        <f t="shared" si="12"/>
        <v>55068.39653710373</v>
      </c>
      <c r="AM48" s="144"/>
      <c r="AN48" s="243"/>
      <c r="AO48" s="249"/>
      <c r="AP48" s="141"/>
      <c r="AQ48" s="142"/>
      <c r="AR48" s="142"/>
      <c r="AS48" s="142"/>
      <c r="AT48" s="142"/>
      <c r="AU48" s="142"/>
    </row>
    <row r="49" spans="1:47" s="139" customFormat="1" ht="30">
      <c r="A49" s="294">
        <v>40</v>
      </c>
      <c r="B49" s="191" t="s">
        <v>258</v>
      </c>
      <c r="C49" s="231">
        <v>4</v>
      </c>
      <c r="D49" s="191" t="s">
        <v>202</v>
      </c>
      <c r="E49" s="192" t="str">
        <f>IF(ISNUMBER(C49),IF(C49&lt;=units!$L$7,units!$L$8,IF(C49&lt;=units!$N$7,units!$M$8,IF(C49&gt;units!$O$8,"OXI",units!$N$8))),"--")</f>
        <v>TAXI</v>
      </c>
      <c r="F49" s="183">
        <v>0</v>
      </c>
      <c r="G49" s="184">
        <v>0</v>
      </c>
      <c r="H49" s="185">
        <v>30</v>
      </c>
      <c r="I49" s="186">
        <f t="shared" si="13"/>
        <v>30</v>
      </c>
      <c r="J49" s="282"/>
      <c r="K49" s="277">
        <f>(units!$B$4*(F49*1.2*units!$B$23+G49*1.2*units!$D$23+H49*1.2*units!$E$23))+(F49*1.2*units!$B$31+G49*1.2*units!$D$31+H49*1.2*units!$E$31)+(F49*1.2*units!$B$35+G49*1.2*units!$D$35+H49*1.2*units!$E$35)</f>
        <v>45.95209556043957</v>
      </c>
      <c r="L49" s="187">
        <f>units!$F$8*((F49*1.2/units!$B$19)*60+((G49*1.2/units!$D$19)*60)+((H49*1.2/units!$E$19)*60))/60</f>
        <v>8.326923076923077</v>
      </c>
      <c r="M49" s="187">
        <f>units!$H$8*((F49*1.2/units!$B$19)*60+((G49*1.2/units!$D$19)*60)+((H49*1.2/units!$E$19)*60))/60</f>
        <v>15.584415584415584</v>
      </c>
      <c r="N49" s="187">
        <f t="shared" si="14"/>
        <v>17.465858555444555</v>
      </c>
      <c r="O49" s="187">
        <f t="shared" si="15"/>
        <v>13.099393916583416</v>
      </c>
      <c r="P49" s="188">
        <f t="shared" si="16"/>
        <v>100.42868669380618</v>
      </c>
      <c r="Q49" s="189"/>
      <c r="R49" s="187">
        <f>(F49*1.2*units!$B$36+G49*1.2*units!$D$36+H49*1.2*units!$E$36)+(F49*1.2*units!$B$32+G49*1.2*units!$D$32+H49*1.2*units!$E$32)+(units!$B$4*(F49*1.2*units!$B$24+G49*1.2*units!$D$24+H49*1.2*units!$E$24))</f>
        <v>20.28055173626374</v>
      </c>
      <c r="S49" s="187">
        <f>units!$F$9*(((F49*1.2/units!$B$20)*60)+((G49*1.2/units!$D$20)*60)+((H49*1.2/units!$E$20)*60))/60</f>
        <v>5.5178571428571415</v>
      </c>
      <c r="T49" s="187">
        <f>units!$H$9*(((F49*1.2/units!$B$20)*60)+((G49*1.2/units!$D$20)*60)+((H49*1.2/units!$E$20)*60))/60</f>
        <v>15.584415584415584</v>
      </c>
      <c r="U49" s="187">
        <f t="shared" si="17"/>
        <v>10.345706115884116</v>
      </c>
      <c r="V49" s="187">
        <f t="shared" si="18"/>
        <v>7.759279586913086</v>
      </c>
      <c r="W49" s="188">
        <f t="shared" si="19"/>
        <v>59.48781016633367</v>
      </c>
      <c r="X49" s="189"/>
      <c r="Y49" s="187">
        <f>(units!$B$4*(units!$B$25*F49*1.2+units!$D$25*G49*1.2+units!$E$25*H49*1.2)+(F49*1.2*units!$B$33+G49*1.2*units!$D$33+H49*1.2*units!$E$33)+(F49*1.2*units!$B$37+G49*1.2*units!$D$37+H49*1.2*units!$E$37))</f>
        <v>7.996205076923077</v>
      </c>
      <c r="Z49" s="187">
        <f>units!$F$10*(((F49*1.2/units!$B$21)*60)+((G49*1.2/units!$D$21)*60)+((H49*1.2/units!$E$21)*60))/60</f>
        <v>1.0021367521367524</v>
      </c>
      <c r="AA49" s="187">
        <f>units!$H$10*(((F49*1.2/units!$B$21)*60)+((G49*1.2/units!$D$21)*60)+((H49*1.2/units!$E$21)*60))/60</f>
        <v>10.1010101010101</v>
      </c>
      <c r="AB49" s="187">
        <f t="shared" si="20"/>
        <v>4.774837982517482</v>
      </c>
      <c r="AC49" s="187">
        <f t="shared" si="21"/>
        <v>3.5811284868881117</v>
      </c>
      <c r="AD49" s="188">
        <f t="shared" si="22"/>
        <v>27.455318399475523</v>
      </c>
      <c r="AE49" s="190"/>
      <c r="AF49" s="188">
        <f>IF(E49=units!$N$8,P49,"")</f>
      </c>
      <c r="AG49" s="188">
        <f>IF(E49=units!$M$8,W49,"")</f>
      </c>
      <c r="AH49" s="188">
        <f>IF(E49=units!$L$8,AD49,"")</f>
        <v>27.455318399475523</v>
      </c>
      <c r="AI49" s="188">
        <f t="shared" si="23"/>
        <v>27.455318399475523</v>
      </c>
      <c r="AJ49" s="199">
        <v>6</v>
      </c>
      <c r="AK49" s="255">
        <f t="shared" si="24"/>
        <v>164.73191039685315</v>
      </c>
      <c r="AL49" s="256">
        <f t="shared" si="12"/>
        <v>28828.084319449303</v>
      </c>
      <c r="AM49" s="144"/>
      <c r="AN49" s="242"/>
      <c r="AO49" s="247"/>
      <c r="AP49" s="142"/>
      <c r="AQ49" s="142"/>
      <c r="AR49" s="142"/>
      <c r="AS49" s="142"/>
      <c r="AT49" s="142"/>
      <c r="AU49" s="142"/>
    </row>
    <row r="50" spans="1:41" s="139" customFormat="1" ht="15.75">
      <c r="A50" s="294">
        <v>41</v>
      </c>
      <c r="B50" s="191" t="s">
        <v>259</v>
      </c>
      <c r="C50" s="231">
        <v>4</v>
      </c>
      <c r="D50" s="226" t="s">
        <v>136</v>
      </c>
      <c r="E50" s="192" t="str">
        <f>IF(ISNUMBER(C50),IF(C50&lt;=units!$L$7,units!$L$8,IF(C50&lt;=units!$N$7,units!$M$8,IF(C50&gt;units!$O$8,"OXI",units!$N$8))),"--")</f>
        <v>TAXI</v>
      </c>
      <c r="F50" s="183">
        <v>0</v>
      </c>
      <c r="G50" s="184">
        <v>23</v>
      </c>
      <c r="H50" s="185">
        <v>0</v>
      </c>
      <c r="I50" s="186">
        <f t="shared" si="13"/>
        <v>23</v>
      </c>
      <c r="J50" s="282"/>
      <c r="K50" s="277">
        <f>(units!$B$4*(F50*1.2*units!$B$23+G50*1.2*units!$D$23+H50*1.2*units!$E$23))+(F50*1.2*units!$B$31+G50*1.2*units!$D$31+H50*1.2*units!$E$31)+(F50*1.2*units!$B$35+G50*1.2*units!$D$35+H50*1.2*units!$E$35)</f>
        <v>22.33571612307692</v>
      </c>
      <c r="L50" s="187">
        <f>units!$F$8*((F50*1.2/units!$B$19)*60+((G50*1.2/units!$D$19)*60)+((H50*1.2/units!$E$19)*60))/60</f>
        <v>4.9653133903133915</v>
      </c>
      <c r="M50" s="187">
        <f>units!$H$8*((F50*1.2/units!$B$19)*60+((G50*1.2/units!$D$19)*60)+((H50*1.2/units!$E$19)*60))/60</f>
        <v>9.292929292929292</v>
      </c>
      <c r="N50" s="187">
        <f t="shared" si="14"/>
        <v>9.148489701579901</v>
      </c>
      <c r="O50" s="187">
        <f t="shared" si="15"/>
        <v>6.861367276184926</v>
      </c>
      <c r="P50" s="188">
        <f t="shared" si="16"/>
        <v>52.60381578408444</v>
      </c>
      <c r="Q50" s="227"/>
      <c r="R50" s="187">
        <f>(F50*1.2*units!$B$36+G50*1.2*units!$D$36+H50*1.2*units!$E$36)+(F50*1.2*units!$B$32+G50*1.2*units!$D$32+H50*1.2*units!$E$32)+(units!$B$4*(F50*1.2*units!$B$24+G50*1.2*units!$D$24+H50*1.2*units!$E$24))</f>
        <v>12.152165353846154</v>
      </c>
      <c r="S50" s="187">
        <f>units!$F$9*(((F50*1.2/units!$B$20)*60)+((G50*1.2/units!$D$20)*60)+((H50*1.2/units!$E$20)*60))/60</f>
        <v>3.290277777777777</v>
      </c>
      <c r="T50" s="187">
        <f>units!$H$9*(((F50*1.2/units!$B$20)*60)+((G50*1.2/units!$D$20)*60)+((H50*1.2/units!$E$20)*60))/60</f>
        <v>9.292929292929292</v>
      </c>
      <c r="U50" s="187">
        <f t="shared" si="17"/>
        <v>6.183843106138307</v>
      </c>
      <c r="V50" s="187">
        <f t="shared" si="18"/>
        <v>4.6378823296037295</v>
      </c>
      <c r="W50" s="228">
        <f t="shared" si="19"/>
        <v>35.55709786029526</v>
      </c>
      <c r="X50" s="227"/>
      <c r="Y50" s="187">
        <f>(units!$B$4*(units!$B$25*F50*1.2+units!$D$25*G50*1.2+units!$E$25*H50*1.2)+(F50*1.2*units!$B$33+G50*1.2*units!$D$33+H50*1.2*units!$E$33)+(F50*1.2*units!$B$37+G50*1.2*units!$D$37+H50*1.2*units!$E$37))</f>
        <v>5.242718530069929</v>
      </c>
      <c r="Z50" s="187">
        <f>units!$F$10*(((F50*1.2/units!$B$21)*60)+((G50*1.2/units!$D$21)*60)+((H50*1.2/units!$E$21)*60))/60</f>
        <v>0.6286130536130536</v>
      </c>
      <c r="AA50" s="187">
        <f>units!$H$10*(((F50*1.2/units!$B$21)*60)+((G50*1.2/units!$D$21)*60)+((H50*1.2/units!$E$21)*60))/60</f>
        <v>6.336088154269973</v>
      </c>
      <c r="AB50" s="187">
        <f t="shared" si="20"/>
        <v>3.051854934488239</v>
      </c>
      <c r="AC50" s="187">
        <f t="shared" si="21"/>
        <v>2.288891200866179</v>
      </c>
      <c r="AD50" s="188">
        <f t="shared" si="22"/>
        <v>17.548165873307372</v>
      </c>
      <c r="AE50" s="229"/>
      <c r="AF50" s="188">
        <f>IF(E50=units!$N$8,P50,"")</f>
      </c>
      <c r="AG50" s="188">
        <f>IF(E50=units!$M$8,W50,"")</f>
      </c>
      <c r="AH50" s="188">
        <f>IF(E50=units!$L$8,AD50,"")</f>
        <v>17.548165873307372</v>
      </c>
      <c r="AI50" s="188">
        <f t="shared" si="23"/>
        <v>17.548165873307372</v>
      </c>
      <c r="AJ50" s="199">
        <v>6</v>
      </c>
      <c r="AK50" s="255">
        <f t="shared" si="24"/>
        <v>105.28899523984424</v>
      </c>
      <c r="AL50" s="256">
        <f t="shared" si="12"/>
        <v>18425.574166972743</v>
      </c>
      <c r="AM50" s="250"/>
      <c r="AN50" s="251"/>
      <c r="AO50" s="252"/>
    </row>
    <row r="51" spans="1:41" s="139" customFormat="1" ht="30">
      <c r="A51" s="294">
        <v>42</v>
      </c>
      <c r="B51" s="191" t="s">
        <v>205</v>
      </c>
      <c r="C51" s="182">
        <v>100</v>
      </c>
      <c r="D51" s="191" t="s">
        <v>261</v>
      </c>
      <c r="E51" s="192" t="str">
        <f>IF(ISNUMBER(C51),IF(C51&lt;=units!$L$7,units!$L$8,IF(C51&lt;=units!$N$7,units!$M$8,IF(C51&gt;units!$O$8,"OXI",units!$N$8))),"--")</f>
        <v>BUS</v>
      </c>
      <c r="F51" s="183">
        <v>17</v>
      </c>
      <c r="G51" s="184">
        <v>0</v>
      </c>
      <c r="H51" s="185">
        <v>0</v>
      </c>
      <c r="I51" s="186">
        <f t="shared" si="13"/>
        <v>17</v>
      </c>
      <c r="J51" s="282"/>
      <c r="K51" s="277">
        <f>(units!$B$4*(F51*1.2*units!$B$23+G51*1.2*units!$D$23+H51*1.2*units!$E$23))+(F51*1.2*units!$B$31+G51*1.2*units!$D$31+H51*1.2*units!$E$31)+(F51*1.2*units!$B$35+G51*1.2*units!$D$35+H51*1.2*units!$E$35)</f>
        <v>26.420983107692308</v>
      </c>
      <c r="L51" s="187">
        <f>units!$F$8*((F51*1.2/units!$B$19)*60+((G51*1.2/units!$D$19)*60)+((H51*1.2/units!$E$19)*60))/60</f>
        <v>11.010042735042736</v>
      </c>
      <c r="M51" s="187">
        <f>units!$H$8*((F51*1.2/units!$B$19)*60+((G51*1.2/units!$D$19)*60)+((H51*1.2/units!$E$19)*60))/60</f>
        <v>20.606060606060606</v>
      </c>
      <c r="N51" s="187">
        <f t="shared" si="14"/>
        <v>14.509271612198912</v>
      </c>
      <c r="O51" s="187">
        <f t="shared" si="15"/>
        <v>10.881953709149185</v>
      </c>
      <c r="P51" s="188">
        <f t="shared" si="16"/>
        <v>83.42831177014375</v>
      </c>
      <c r="Q51" s="189"/>
      <c r="R51" s="187">
        <f>(F51*1.2*units!$B$36+G51*1.2*units!$D$36+H51*1.2*units!$E$36)+(F51*1.2*units!$B$32+G51*1.2*units!$D$32+H51*1.2*units!$E$32)+(units!$B$4*(F51*1.2*units!$B$24+G51*1.2*units!$D$24+H51*1.2*units!$E$24))</f>
        <v>12.840598753846152</v>
      </c>
      <c r="S51" s="187">
        <f>units!$F$9*(((F51*1.2/units!$B$20)*60)+((G51*1.2/units!$D$20)*60)+((H51*1.2/units!$E$20)*60))/60</f>
        <v>6.079861111111111</v>
      </c>
      <c r="T51" s="187">
        <f>units!$H$9*(((F51*1.2/units!$B$20)*60)+((G51*1.2/units!$D$20)*60)+((H51*1.2/units!$E$20)*60))/60</f>
        <v>17.17171717171717</v>
      </c>
      <c r="U51" s="187">
        <f t="shared" si="17"/>
        <v>9.023044259168607</v>
      </c>
      <c r="V51" s="187">
        <f t="shared" si="18"/>
        <v>6.767283194376455</v>
      </c>
      <c r="W51" s="188">
        <f t="shared" si="19"/>
        <v>51.88250449021949</v>
      </c>
      <c r="X51" s="189"/>
      <c r="Y51" s="187">
        <f>(units!$B$4*(units!$B$25*F51*1.2+units!$D$25*G51*1.2+units!$E$25*H51*1.2)+(F51*1.2*units!$B$33+G51*1.2*units!$D$33+H51*1.2*units!$E$33)+(F51*1.2*units!$B$37+G51*1.2*units!$D$37+H51*1.2*units!$E$37))</f>
        <v>4.4142073153846155</v>
      </c>
      <c r="Z51" s="187">
        <f>units!$F$10*(((F51*1.2/units!$B$21)*60)+((G51*1.2/units!$D$21)*60)+((H51*1.2/units!$E$21)*60))/60</f>
        <v>0.8518162393162394</v>
      </c>
      <c r="AA51" s="187">
        <f>units!$H$10*(((F51*1.2/units!$B$21)*60)+((G51*1.2/units!$D$21)*60)+((H51*1.2/units!$E$21)*60))/60</f>
        <v>8.585858585858585</v>
      </c>
      <c r="AB51" s="187">
        <f t="shared" si="20"/>
        <v>3.46297053513986</v>
      </c>
      <c r="AC51" s="187">
        <f t="shared" si="21"/>
        <v>2.597227901354895</v>
      </c>
      <c r="AD51" s="188">
        <f t="shared" si="22"/>
        <v>19.912080577054194</v>
      </c>
      <c r="AE51" s="190"/>
      <c r="AF51" s="188">
        <f>IF(E51=units!$N$8,P51,"")</f>
        <v>83.42831177014375</v>
      </c>
      <c r="AG51" s="188">
        <f>IF(E51=units!$M$8,W51,"")</f>
      </c>
      <c r="AH51" s="188">
        <f>IF(E51=units!$L$8,AD51,"")</f>
      </c>
      <c r="AI51" s="188">
        <f t="shared" si="23"/>
        <v>83.42831177014375</v>
      </c>
      <c r="AJ51" s="199">
        <v>4</v>
      </c>
      <c r="AK51" s="255">
        <f t="shared" si="24"/>
        <v>333.713247080575</v>
      </c>
      <c r="AL51" s="256">
        <f t="shared" si="12"/>
        <v>58399.81823910063</v>
      </c>
      <c r="AM51" s="142"/>
      <c r="AN51" s="242"/>
      <c r="AO51" s="247"/>
    </row>
    <row r="52" spans="1:41" s="139" customFormat="1" ht="15.75">
      <c r="A52" s="294">
        <v>43</v>
      </c>
      <c r="B52" s="191" t="s">
        <v>260</v>
      </c>
      <c r="C52" s="231">
        <v>4</v>
      </c>
      <c r="D52" s="226" t="s">
        <v>204</v>
      </c>
      <c r="E52" s="192" t="str">
        <f>IF(ISNUMBER(C52),IF(C52&lt;=units!$L$7,units!$L$8,IF(C52&lt;=units!$N$7,units!$M$8,IF(C52&gt;units!$O$8,"OXI",units!$N$8))),"--")</f>
        <v>TAXI</v>
      </c>
      <c r="F52" s="183">
        <v>0</v>
      </c>
      <c r="G52" s="184">
        <v>33</v>
      </c>
      <c r="H52" s="185">
        <v>0</v>
      </c>
      <c r="I52" s="186">
        <f t="shared" si="13"/>
        <v>33</v>
      </c>
      <c r="J52" s="282"/>
      <c r="K52" s="277">
        <f>(units!$B$4*(F52*1.2*units!$B$23+G52*1.2*units!$D$23+H52*1.2*units!$E$23))+(F52*1.2*units!$B$31+G52*1.2*units!$D$31+H52*1.2*units!$E$31)+(F52*1.2*units!$B$35+G52*1.2*units!$D$35+H52*1.2*units!$E$35)</f>
        <v>32.046897046153845</v>
      </c>
      <c r="L52" s="187">
        <f>units!$F$8*((F52*1.2/units!$B$19)*60+((G52*1.2/units!$D$19)*60)+((H52*1.2/units!$E$19)*60))/60</f>
        <v>7.1241452991453</v>
      </c>
      <c r="M52" s="187">
        <f>units!$H$8*((F52*1.2/units!$B$19)*60+((G52*1.2/units!$D$19)*60)+((H52*1.2/units!$E$19)*60))/60</f>
        <v>13.333333333333334</v>
      </c>
      <c r="N52" s="187">
        <f t="shared" si="14"/>
        <v>13.12609391965812</v>
      </c>
      <c r="O52" s="187">
        <f t="shared" si="15"/>
        <v>9.84457043974359</v>
      </c>
      <c r="P52" s="188">
        <f t="shared" si="16"/>
        <v>75.4750400380342</v>
      </c>
      <c r="Q52" s="227"/>
      <c r="R52" s="187">
        <f>(F52*1.2*units!$B$36+G52*1.2*units!$D$36+H52*1.2*units!$E$36)+(F52*1.2*units!$B$32+G52*1.2*units!$D$32+H52*1.2*units!$E$32)+(units!$B$4*(F52*1.2*units!$B$24+G52*1.2*units!$D$24+H52*1.2*units!$E$24))</f>
        <v>17.435715507692308</v>
      </c>
      <c r="S52" s="187">
        <f>units!$F$9*(((F52*1.2/units!$B$20)*60)+((G52*1.2/units!$D$20)*60)+((H52*1.2/units!$E$20)*60))/60</f>
        <v>4.720833333333332</v>
      </c>
      <c r="T52" s="187">
        <f>units!$H$9*(((F52*1.2/units!$B$20)*60)+((G52*1.2/units!$D$20)*60)+((H52*1.2/units!$E$20)*60))/60</f>
        <v>13.333333333333334</v>
      </c>
      <c r="U52" s="187">
        <f t="shared" si="17"/>
        <v>8.872470543589744</v>
      </c>
      <c r="V52" s="187">
        <f t="shared" si="18"/>
        <v>6.654352907692307</v>
      </c>
      <c r="W52" s="228">
        <f t="shared" si="19"/>
        <v>51.01670562564102</v>
      </c>
      <c r="X52" s="227"/>
      <c r="Y52" s="187">
        <f>(units!$B$4*(units!$B$25*F52*1.2+units!$D$25*G52*1.2+units!$E$25*H52*1.2)+(F52*1.2*units!$B$33+G52*1.2*units!$D$33+H52*1.2*units!$E$33)+(F52*1.2*units!$B$37+G52*1.2*units!$D$37+H52*1.2*units!$E$37))</f>
        <v>7.522161369230769</v>
      </c>
      <c r="Z52" s="187">
        <f>units!$F$10*(((F52*1.2/units!$B$21)*60)+((G52*1.2/units!$D$21)*60)+((H52*1.2/units!$E$21)*60))/60</f>
        <v>0.901923076923077</v>
      </c>
      <c r="AA52" s="187">
        <f>units!$H$10*(((F52*1.2/units!$B$21)*60)+((G52*1.2/units!$D$21)*60)+((H52*1.2/units!$E$21)*60))/60</f>
        <v>9.09090909090909</v>
      </c>
      <c r="AB52" s="187">
        <f t="shared" si="20"/>
        <v>4.378748384265734</v>
      </c>
      <c r="AC52" s="187">
        <f t="shared" si="21"/>
        <v>3.2840612881993003</v>
      </c>
      <c r="AD52" s="188">
        <f t="shared" si="22"/>
        <v>25.17780320952797</v>
      </c>
      <c r="AE52" s="229"/>
      <c r="AF52" s="188">
        <f>IF(E52=units!$N$8,P52,"")</f>
      </c>
      <c r="AG52" s="188">
        <f>IF(E52=units!$M$8,W52,"")</f>
      </c>
      <c r="AH52" s="188">
        <f>IF(E52=units!$L$8,AD52,"")</f>
        <v>25.17780320952797</v>
      </c>
      <c r="AI52" s="188">
        <f t="shared" si="23"/>
        <v>25.17780320952797</v>
      </c>
      <c r="AJ52" s="199">
        <v>8</v>
      </c>
      <c r="AK52" s="255">
        <f t="shared" si="24"/>
        <v>201.42242567622375</v>
      </c>
      <c r="AL52" s="256">
        <f t="shared" si="12"/>
        <v>35248.92449333916</v>
      </c>
      <c r="AM52" s="144"/>
      <c r="AN52" s="243"/>
      <c r="AO52" s="247"/>
    </row>
    <row r="53" spans="1:41" s="139" customFormat="1" ht="15.75">
      <c r="A53" s="294">
        <v>44</v>
      </c>
      <c r="B53" s="191" t="s">
        <v>205</v>
      </c>
      <c r="C53" s="182">
        <v>80</v>
      </c>
      <c r="D53" s="191" t="s">
        <v>206</v>
      </c>
      <c r="E53" s="192" t="str">
        <f>IF(ISNUMBER(C53),IF(C53&lt;=units!$L$7,units!$L$8,IF(C53&lt;=units!$N$7,units!$M$8,IF(C53&gt;units!$O$8,"OXI",units!$N$8))),"--")</f>
        <v>BUS</v>
      </c>
      <c r="F53" s="183">
        <v>0</v>
      </c>
      <c r="G53" s="184">
        <v>13</v>
      </c>
      <c r="H53" s="185">
        <v>0</v>
      </c>
      <c r="I53" s="186">
        <f t="shared" si="13"/>
        <v>13</v>
      </c>
      <c r="J53" s="282"/>
      <c r="K53" s="277">
        <f>(units!$B$4*(F53*1.2*units!$B$23+G53*1.2*units!$D$23+H53*1.2*units!$E$23))+(F53*1.2*units!$B$31+G53*1.2*units!$D$31+H53*1.2*units!$E$31)+(F53*1.2*units!$B$35+G53*1.2*units!$D$35+H53*1.2*units!$E$35)</f>
        <v>12.6245352</v>
      </c>
      <c r="L53" s="187">
        <f>units!$F$8*((F53*1.2/units!$B$19)*60+((G53*1.2/units!$D$19)*60)+((H53*1.2/units!$E$19)*60))/60</f>
        <v>2.806481481481482</v>
      </c>
      <c r="M53" s="187">
        <f>units!$H$8*((F53*1.2/units!$B$19)*60+((G53*1.2/units!$D$19)*60)+((H53*1.2/units!$E$19)*60))/60</f>
        <v>5.2525252525252535</v>
      </c>
      <c r="N53" s="187">
        <f t="shared" si="14"/>
        <v>5.170885483501684</v>
      </c>
      <c r="O53" s="187">
        <f t="shared" si="15"/>
        <v>3.878164112626263</v>
      </c>
      <c r="P53" s="188">
        <f t="shared" si="16"/>
        <v>29.732591530134684</v>
      </c>
      <c r="Q53" s="189"/>
      <c r="R53" s="187">
        <f>(F53*1.2*units!$B$36+G53*1.2*units!$D$36+H53*1.2*units!$E$36)+(F53*1.2*units!$B$32+G53*1.2*units!$D$32+H53*1.2*units!$E$32)+(units!$B$4*(F53*1.2*units!$B$24+G53*1.2*units!$D$24+H53*1.2*units!$E$24))</f>
        <v>6.868615200000001</v>
      </c>
      <c r="S53" s="187">
        <f>units!$F$9*(((F53*1.2/units!$B$20)*60)+((G53*1.2/units!$D$20)*60)+((H53*1.2/units!$E$20)*60))/60</f>
        <v>1.859722222222222</v>
      </c>
      <c r="T53" s="187">
        <f>units!$H$9*(((F53*1.2/units!$B$20)*60)+((G53*1.2/units!$D$20)*60)+((H53*1.2/units!$E$20)*60))/60</f>
        <v>5.2525252525252535</v>
      </c>
      <c r="U53" s="187">
        <f t="shared" si="17"/>
        <v>3.4952156686868694</v>
      </c>
      <c r="V53" s="187">
        <f t="shared" si="18"/>
        <v>2.6214117515151516</v>
      </c>
      <c r="W53" s="188">
        <f t="shared" si="19"/>
        <v>20.097490094949496</v>
      </c>
      <c r="X53" s="189"/>
      <c r="Y53" s="187">
        <f>(units!$B$4*(units!$B$25*F53*1.2+units!$D$25*G53*1.2+units!$E$25*H53*1.2)+(F53*1.2*units!$B$33+G53*1.2*units!$D$33+H53*1.2*units!$E$33)+(F53*1.2*units!$B$37+G53*1.2*units!$D$37+H53*1.2*units!$E$37))</f>
        <v>2.9632756909090907</v>
      </c>
      <c r="Z53" s="187">
        <f>units!$F$10*(((F53*1.2/units!$B$21)*60)+((G53*1.2/units!$D$21)*60)+((H53*1.2/units!$E$21)*60))/60</f>
        <v>0.3553030303030304</v>
      </c>
      <c r="AA53" s="187">
        <f>units!$H$10*(((F53*1.2/units!$B$21)*60)+((G53*1.2/units!$D$21)*60)+((H53*1.2/units!$E$21)*60))/60</f>
        <v>3.581267217630854</v>
      </c>
      <c r="AB53" s="187">
        <f t="shared" si="20"/>
        <v>1.724961484710744</v>
      </c>
      <c r="AC53" s="187">
        <f t="shared" si="21"/>
        <v>1.2937211135330577</v>
      </c>
      <c r="AD53" s="188">
        <f t="shared" si="22"/>
        <v>9.918528537086777</v>
      </c>
      <c r="AE53" s="190"/>
      <c r="AF53" s="188">
        <f>IF(E53=units!$N$8,P53,"")</f>
        <v>29.732591530134684</v>
      </c>
      <c r="AG53" s="188">
        <f>IF(E53=units!$M$8,W53,"")</f>
      </c>
      <c r="AH53" s="188">
        <f>IF(E53=units!$L$8,AD53,"")</f>
      </c>
      <c r="AI53" s="188">
        <f t="shared" si="23"/>
        <v>29.732591530134684</v>
      </c>
      <c r="AJ53" s="199">
        <v>4</v>
      </c>
      <c r="AK53" s="255">
        <f t="shared" si="24"/>
        <v>118.93036612053874</v>
      </c>
      <c r="AL53" s="256">
        <f t="shared" si="12"/>
        <v>20812.81407109428</v>
      </c>
      <c r="AM53" s="144"/>
      <c r="AN53" s="253"/>
      <c r="AO53" s="247"/>
    </row>
    <row r="54" spans="1:41" s="139" customFormat="1" ht="15.75">
      <c r="A54" s="294">
        <v>45</v>
      </c>
      <c r="B54" s="191" t="s">
        <v>139</v>
      </c>
      <c r="C54" s="182">
        <v>82</v>
      </c>
      <c r="D54" s="226" t="s">
        <v>140</v>
      </c>
      <c r="E54" s="192" t="str">
        <f>IF(ISNUMBER(C54),IF(C54&lt;=units!$L$7,units!$L$8,IF(C54&lt;=units!$N$7,units!$M$8,IF(C54&gt;units!$O$8,"OXI",units!$N$8))),"--")</f>
        <v>BUS</v>
      </c>
      <c r="F54" s="183">
        <v>7</v>
      </c>
      <c r="G54" s="184">
        <v>0</v>
      </c>
      <c r="H54" s="185">
        <v>0</v>
      </c>
      <c r="I54" s="186">
        <f t="shared" si="13"/>
        <v>7</v>
      </c>
      <c r="J54" s="282"/>
      <c r="K54" s="277">
        <f>(units!$B$4*(F54*1.2*units!$B$23+G54*1.2*units!$D$23+H54*1.2*units!$E$23))+(F54*1.2*units!$B$31+G54*1.2*units!$D$31+H54*1.2*units!$E$31)+(F54*1.2*units!$B$35+G54*1.2*units!$D$35+H54*1.2*units!$E$35)</f>
        <v>10.87922833846154</v>
      </c>
      <c r="L54" s="187">
        <f>units!$F$8*((F54*1.2/units!$B$19)*60+((G54*1.2/units!$D$19)*60)+((H54*1.2/units!$E$19)*60))/60</f>
        <v>4.533547008547009</v>
      </c>
      <c r="M54" s="187">
        <f>units!$H$8*((F54*1.2/units!$B$19)*60+((G54*1.2/units!$D$19)*60)+((H54*1.2/units!$E$19)*60))/60</f>
        <v>8.484848484848486</v>
      </c>
      <c r="N54" s="187">
        <f t="shared" si="14"/>
        <v>5.974405957964258</v>
      </c>
      <c r="O54" s="187">
        <f t="shared" si="15"/>
        <v>4.480804468473194</v>
      </c>
      <c r="P54" s="188">
        <f t="shared" si="16"/>
        <v>34.352834258294486</v>
      </c>
      <c r="Q54" s="227"/>
      <c r="R54" s="187">
        <f>(F54*1.2*units!$B$36+G54*1.2*units!$D$36+H54*1.2*units!$E$36)+(F54*1.2*units!$B$32+G54*1.2*units!$D$32+H54*1.2*units!$E$32)+(units!$B$4*(F54*1.2*units!$B$24+G54*1.2*units!$D$24+H54*1.2*units!$E$24))</f>
        <v>5.287305369230769</v>
      </c>
      <c r="S54" s="187">
        <f>units!$F$9*(((F54*1.2/units!$B$20)*60)+((G54*1.2/units!$D$20)*60)+((H54*1.2/units!$E$20)*60))/60</f>
        <v>2.503472222222222</v>
      </c>
      <c r="T54" s="187">
        <f>units!$H$9*(((F54*1.2/units!$B$20)*60)+((G54*1.2/units!$D$20)*60)+((H54*1.2/units!$E$20)*60))/60</f>
        <v>7.070707070707071</v>
      </c>
      <c r="U54" s="187">
        <f t="shared" si="17"/>
        <v>3.7153711655400157</v>
      </c>
      <c r="V54" s="187">
        <f t="shared" si="18"/>
        <v>2.786528374155012</v>
      </c>
      <c r="W54" s="228">
        <f t="shared" si="19"/>
        <v>21.36338420185509</v>
      </c>
      <c r="X54" s="227"/>
      <c r="Y54" s="187">
        <f>(units!$B$4*(units!$B$25*F54*1.2+units!$D$25*G54*1.2+units!$E$25*H54*1.2)+(F54*1.2*units!$B$33+G54*1.2*units!$D$33+H54*1.2*units!$E$33)+(F54*1.2*units!$B$37+G54*1.2*units!$D$37+H54*1.2*units!$E$37))</f>
        <v>1.8176147769230768</v>
      </c>
      <c r="Z54" s="187">
        <f>units!$F$10*(((F54*1.2/units!$B$21)*60)+((G54*1.2/units!$D$21)*60)+((H54*1.2/units!$E$21)*60))/60</f>
        <v>0.35074786324786333</v>
      </c>
      <c r="AA54" s="187">
        <f>units!$H$10*(((F54*1.2/units!$B$21)*60)+((G54*1.2/units!$D$21)*60)+((H54*1.2/units!$E$21)*60))/60</f>
        <v>3.5353535353535355</v>
      </c>
      <c r="AB54" s="187">
        <f t="shared" si="20"/>
        <v>1.425929043881119</v>
      </c>
      <c r="AC54" s="187">
        <f t="shared" si="21"/>
        <v>1.0694467829108392</v>
      </c>
      <c r="AD54" s="188">
        <f t="shared" si="22"/>
        <v>8.199092002316434</v>
      </c>
      <c r="AE54" s="229"/>
      <c r="AF54" s="188">
        <f>IF(E54=units!$N$8,P54,"")</f>
        <v>34.352834258294486</v>
      </c>
      <c r="AG54" s="188">
        <f>IF(E54=units!$M$8,W54,"")</f>
      </c>
      <c r="AH54" s="188">
        <f>IF(E54=units!$L$8,AD54,"")</f>
      </c>
      <c r="AI54" s="188">
        <f t="shared" si="23"/>
        <v>34.352834258294486</v>
      </c>
      <c r="AJ54" s="199">
        <v>4</v>
      </c>
      <c r="AK54" s="255">
        <f t="shared" si="24"/>
        <v>137.41133703317794</v>
      </c>
      <c r="AL54" s="256">
        <f t="shared" si="12"/>
        <v>24046.98398080614</v>
      </c>
      <c r="AM54" s="144"/>
      <c r="AN54" s="243"/>
      <c r="AO54" s="247"/>
    </row>
    <row r="55" spans="1:41" s="139" customFormat="1" ht="15.75">
      <c r="A55" s="294">
        <v>46</v>
      </c>
      <c r="B55" s="191" t="s">
        <v>141</v>
      </c>
      <c r="C55" s="182">
        <v>56</v>
      </c>
      <c r="D55" s="191" t="s">
        <v>142</v>
      </c>
      <c r="E55" s="192" t="str">
        <f>IF(ISNUMBER(C55),IF(C55&lt;=units!$L$7,units!$L$8,IF(C55&lt;=units!$N$7,units!$M$8,IF(C55&gt;units!$O$8,"OXI",units!$N$8))),"--")</f>
        <v>BUS</v>
      </c>
      <c r="F55" s="183">
        <v>7</v>
      </c>
      <c r="G55" s="184">
        <v>0</v>
      </c>
      <c r="H55" s="185">
        <v>0</v>
      </c>
      <c r="I55" s="186">
        <f t="shared" si="13"/>
        <v>7</v>
      </c>
      <c r="J55" s="282"/>
      <c r="K55" s="277">
        <f>(units!$B$4*(F55*1.2*units!$B$23+G55*1.2*units!$D$23+H55*1.2*units!$E$23))+(F55*1.2*units!$B$31+G55*1.2*units!$D$31+H55*1.2*units!$E$31)+(F55*1.2*units!$B$35+G55*1.2*units!$D$35+H55*1.2*units!$E$35)</f>
        <v>10.87922833846154</v>
      </c>
      <c r="L55" s="187">
        <f>units!$F$8*((F55*1.2/units!$B$19)*60+((G55*1.2/units!$D$19)*60)+((H55*1.2/units!$E$19)*60))/60</f>
        <v>4.533547008547009</v>
      </c>
      <c r="M55" s="187">
        <f>units!$H$8*((F55*1.2/units!$B$19)*60+((G55*1.2/units!$D$19)*60)+((H55*1.2/units!$E$19)*60))/60</f>
        <v>8.484848484848486</v>
      </c>
      <c r="N55" s="187">
        <f t="shared" si="14"/>
        <v>5.974405957964258</v>
      </c>
      <c r="O55" s="187">
        <f t="shared" si="15"/>
        <v>4.480804468473194</v>
      </c>
      <c r="P55" s="188">
        <f t="shared" si="16"/>
        <v>34.352834258294486</v>
      </c>
      <c r="Q55" s="189"/>
      <c r="R55" s="187">
        <f>(F55*1.2*units!$B$36+G55*1.2*units!$D$36+H55*1.2*units!$E$36)+(F55*1.2*units!$B$32+G55*1.2*units!$D$32+H55*1.2*units!$E$32)+(units!$B$4*(F55*1.2*units!$B$24+G55*1.2*units!$D$24+H55*1.2*units!$E$24))</f>
        <v>5.287305369230769</v>
      </c>
      <c r="S55" s="187">
        <f>units!$F$9*(((F55*1.2/units!$B$20)*60)+((G55*1.2/units!$D$20)*60)+((H55*1.2/units!$E$20)*60))/60</f>
        <v>2.503472222222222</v>
      </c>
      <c r="T55" s="187">
        <f>units!$H$9*(((F55*1.2/units!$B$20)*60)+((G55*1.2/units!$D$20)*60)+((H55*1.2/units!$E$20)*60))/60</f>
        <v>7.070707070707071</v>
      </c>
      <c r="U55" s="187">
        <f t="shared" si="17"/>
        <v>3.7153711655400157</v>
      </c>
      <c r="V55" s="187">
        <f t="shared" si="18"/>
        <v>2.786528374155012</v>
      </c>
      <c r="W55" s="188">
        <f t="shared" si="19"/>
        <v>21.36338420185509</v>
      </c>
      <c r="X55" s="189"/>
      <c r="Y55" s="187">
        <f>(units!$B$4*(units!$B$25*F55*1.2+units!$D$25*G55*1.2+units!$E$25*H55*1.2)+(F55*1.2*units!$B$33+G55*1.2*units!$D$33+H55*1.2*units!$E$33)+(F55*1.2*units!$B$37+G55*1.2*units!$D$37+H55*1.2*units!$E$37))</f>
        <v>1.8176147769230768</v>
      </c>
      <c r="Z55" s="187">
        <f>units!$F$10*(((F55*1.2/units!$B$21)*60)+((G55*1.2/units!$D$21)*60)+((H55*1.2/units!$E$21)*60))/60</f>
        <v>0.35074786324786333</v>
      </c>
      <c r="AA55" s="187">
        <f>units!$H$10*(((F55*1.2/units!$B$21)*60)+((G55*1.2/units!$D$21)*60)+((H55*1.2/units!$E$21)*60))/60</f>
        <v>3.5353535353535355</v>
      </c>
      <c r="AB55" s="187">
        <f t="shared" si="20"/>
        <v>1.425929043881119</v>
      </c>
      <c r="AC55" s="187">
        <f t="shared" si="21"/>
        <v>1.0694467829108392</v>
      </c>
      <c r="AD55" s="188">
        <f t="shared" si="22"/>
        <v>8.199092002316434</v>
      </c>
      <c r="AE55" s="190"/>
      <c r="AF55" s="188">
        <f>IF(E55=units!$N$8,P55,"")</f>
        <v>34.352834258294486</v>
      </c>
      <c r="AG55" s="188">
        <f>IF(E55=units!$M$8,W55,"")</f>
      </c>
      <c r="AH55" s="188">
        <f>IF(E55=units!$L$8,AD55,"")</f>
      </c>
      <c r="AI55" s="188">
        <f t="shared" si="23"/>
        <v>34.352834258294486</v>
      </c>
      <c r="AJ55" s="199">
        <v>4</v>
      </c>
      <c r="AK55" s="255">
        <f t="shared" si="24"/>
        <v>137.41133703317794</v>
      </c>
      <c r="AL55" s="256">
        <f t="shared" si="12"/>
        <v>24046.98398080614</v>
      </c>
      <c r="AM55" s="144"/>
      <c r="AN55" s="243"/>
      <c r="AO55" s="247"/>
    </row>
    <row r="56" spans="1:41" s="139" customFormat="1" ht="15.75">
      <c r="A56" s="294">
        <v>47</v>
      </c>
      <c r="B56" s="191" t="s">
        <v>141</v>
      </c>
      <c r="C56" s="182">
        <v>19</v>
      </c>
      <c r="D56" s="226" t="s">
        <v>143</v>
      </c>
      <c r="E56" s="192" t="str">
        <f>IF(ISNUMBER(C56),IF(C56&lt;=units!$L$7,units!$L$8,IF(C56&lt;=units!$N$7,units!$M$8,IF(C56&gt;units!$O$8,"OXI",units!$N$8))),"--")</f>
        <v>MINI</v>
      </c>
      <c r="F56" s="183">
        <v>9</v>
      </c>
      <c r="G56" s="184">
        <v>0</v>
      </c>
      <c r="H56" s="185">
        <v>0</v>
      </c>
      <c r="I56" s="186">
        <f t="shared" si="13"/>
        <v>9</v>
      </c>
      <c r="J56" s="282"/>
      <c r="K56" s="277">
        <f>(units!$B$4*(F56*1.2*units!$B$23+G56*1.2*units!$D$23+H56*1.2*units!$E$23))+(F56*1.2*units!$B$31+G56*1.2*units!$D$31+H56*1.2*units!$E$31)+(F56*1.2*units!$B$35+G56*1.2*units!$D$35+H56*1.2*units!$E$35)</f>
        <v>13.98757929230769</v>
      </c>
      <c r="L56" s="187">
        <f>units!$F$8*((F56*1.2/units!$B$19)*60+((G56*1.2/units!$D$19)*60)+((H56*1.2/units!$E$19)*60))/60</f>
        <v>5.828846153846154</v>
      </c>
      <c r="M56" s="187">
        <f>units!$H$8*((F56*1.2/units!$B$19)*60+((G56*1.2/units!$D$19)*60)+((H56*1.2/units!$E$19)*60))/60</f>
        <v>10.909090909090908</v>
      </c>
      <c r="N56" s="187">
        <f t="shared" si="14"/>
        <v>7.6813790888111875</v>
      </c>
      <c r="O56" s="187">
        <f t="shared" si="15"/>
        <v>5.76103431660839</v>
      </c>
      <c r="P56" s="188">
        <f t="shared" si="16"/>
        <v>44.16792976066432</v>
      </c>
      <c r="Q56" s="227"/>
      <c r="R56" s="187">
        <f>(F56*1.2*units!$B$36+G56*1.2*units!$D$36+H56*1.2*units!$E$36)+(F56*1.2*units!$B$32+G56*1.2*units!$D$32+H56*1.2*units!$E$32)+(units!$B$4*(F56*1.2*units!$B$24+G56*1.2*units!$D$24+H56*1.2*units!$E$24))</f>
        <v>6.7979640461538455</v>
      </c>
      <c r="S56" s="187">
        <f>units!$F$9*(((F56*1.2/units!$B$20)*60)+((G56*1.2/units!$D$20)*60)+((H56*1.2/units!$E$20)*60))/60</f>
        <v>3.21875</v>
      </c>
      <c r="T56" s="187">
        <f>units!$H$9*(((F56*1.2/units!$B$20)*60)+((G56*1.2/units!$D$20)*60)+((H56*1.2/units!$E$20)*60))/60</f>
        <v>9.090909090909092</v>
      </c>
      <c r="U56" s="187">
        <f t="shared" si="17"/>
        <v>4.776905784265734</v>
      </c>
      <c r="V56" s="187">
        <f t="shared" si="18"/>
        <v>3.5826793381993007</v>
      </c>
      <c r="W56" s="228">
        <f t="shared" si="19"/>
        <v>27.467208259527975</v>
      </c>
      <c r="X56" s="227"/>
      <c r="Y56" s="187">
        <f>(units!$B$4*(units!$B$25*F56*1.2+units!$D$25*G56*1.2+units!$E$25*H56*1.2)+(F56*1.2*units!$B$33+G56*1.2*units!$D$33+H56*1.2*units!$E$33)+(F56*1.2*units!$B$37+G56*1.2*units!$D$37+H56*1.2*units!$E$37))</f>
        <v>2.3369332846153847</v>
      </c>
      <c r="Z56" s="187">
        <f>units!$F$10*(((F56*1.2/units!$B$21)*60)+((G56*1.2/units!$D$21)*60)+((H56*1.2/units!$E$21)*60))/60</f>
        <v>0.4509615384615385</v>
      </c>
      <c r="AA56" s="187">
        <f>units!$H$10*(((F56*1.2/units!$B$21)*60)+((G56*1.2/units!$D$21)*60)+((H56*1.2/units!$E$21)*60))/60</f>
        <v>4.545454545454545</v>
      </c>
      <c r="AB56" s="187">
        <f t="shared" si="20"/>
        <v>1.8333373421328671</v>
      </c>
      <c r="AC56" s="187">
        <f t="shared" si="21"/>
        <v>1.3750030065996504</v>
      </c>
      <c r="AD56" s="188">
        <f t="shared" si="22"/>
        <v>10.541689717263987</v>
      </c>
      <c r="AE56" s="229"/>
      <c r="AF56" s="188">
        <f>IF(E56=units!$N$8,P56,"")</f>
      </c>
      <c r="AG56" s="188">
        <f>IF(E56=units!$M$8,W56,"")</f>
        <v>27.467208259527975</v>
      </c>
      <c r="AH56" s="188">
        <f>IF(E56=units!$L$8,AD56,"")</f>
      </c>
      <c r="AI56" s="188">
        <f t="shared" si="23"/>
        <v>27.467208259527975</v>
      </c>
      <c r="AJ56" s="199">
        <v>2</v>
      </c>
      <c r="AK56" s="255">
        <f t="shared" si="24"/>
        <v>54.93441651905595</v>
      </c>
      <c r="AL56" s="256">
        <f t="shared" si="12"/>
        <v>9613.52289083479</v>
      </c>
      <c r="AM56" s="144"/>
      <c r="AN56" s="242"/>
      <c r="AO56" s="247"/>
    </row>
    <row r="57" spans="1:41" s="139" customFormat="1" ht="18.75">
      <c r="A57" s="294">
        <v>48</v>
      </c>
      <c r="B57" s="191" t="s">
        <v>144</v>
      </c>
      <c r="C57" s="182">
        <v>30</v>
      </c>
      <c r="D57" s="226" t="s">
        <v>207</v>
      </c>
      <c r="E57" s="192" t="str">
        <f>IF(ISNUMBER(C57),IF(C57&lt;=units!$L$7,units!$L$8,IF(C57&lt;=units!$N$7,units!$M$8,IF(C57&gt;units!$O$8,"OXI",units!$N$8))),"--")</f>
        <v>BUS</v>
      </c>
      <c r="F57" s="183">
        <v>0</v>
      </c>
      <c r="G57" s="184">
        <v>2</v>
      </c>
      <c r="H57" s="185">
        <v>0</v>
      </c>
      <c r="I57" s="186">
        <f t="shared" si="13"/>
        <v>2</v>
      </c>
      <c r="J57" s="283"/>
      <c r="K57" s="277">
        <f>(units!$B$4*(F57*1.2*units!$B$23+G57*1.2*units!$D$23+H57*1.2*units!$E$23))+(F57*1.2*units!$B$31+G57*1.2*units!$D$31+H57*1.2*units!$E$31)+(F57*1.2*units!$B$35+G57*1.2*units!$D$35+H57*1.2*units!$E$35)</f>
        <v>1.9422361846153846</v>
      </c>
      <c r="L57" s="187">
        <f>units!$F$8*((F57*1.2/units!$B$19)*60+((G57*1.2/units!$D$19)*60)+((H57*1.2/units!$E$19)*60))/60</f>
        <v>0.43176638176638177</v>
      </c>
      <c r="M57" s="187">
        <f>units!$H$8*((F57*1.2/units!$B$19)*60+((G57*1.2/units!$D$19)*60)+((H57*1.2/units!$E$19)*60))/60</f>
        <v>0.8080808080808081</v>
      </c>
      <c r="N57" s="187">
        <f t="shared" si="14"/>
        <v>0.7955208436156436</v>
      </c>
      <c r="O57" s="187">
        <f t="shared" si="15"/>
        <v>0.5966406327117327</v>
      </c>
      <c r="P57" s="188">
        <f t="shared" si="16"/>
        <v>4.574244850789951</v>
      </c>
      <c r="Q57" s="227"/>
      <c r="R57" s="187">
        <f>(F57*1.2*units!$B$36+G57*1.2*units!$D$36+H57*1.2*units!$E$36)+(F57*1.2*units!$B$32+G57*1.2*units!$D$32+H57*1.2*units!$E$32)+(units!$B$4*(F57*1.2*units!$B$24+G57*1.2*units!$D$24+H57*1.2*units!$E$24))</f>
        <v>1.0567100307692308</v>
      </c>
      <c r="S57" s="187">
        <f>units!$F$9*(((F57*1.2/units!$B$20)*60)+((G57*1.2/units!$D$20)*60)+((H57*1.2/units!$E$20)*60))/60</f>
        <v>0.2861111111111111</v>
      </c>
      <c r="T57" s="187">
        <f>units!$H$9*(((F57*1.2/units!$B$20)*60)+((G57*1.2/units!$D$20)*60)+((H57*1.2/units!$E$20)*60))/60</f>
        <v>0.8080808080808081</v>
      </c>
      <c r="U57" s="187">
        <f t="shared" si="17"/>
        <v>0.5377254874902875</v>
      </c>
      <c r="V57" s="187">
        <f t="shared" si="18"/>
        <v>0.40329411561771555</v>
      </c>
      <c r="W57" s="228">
        <f t="shared" si="19"/>
        <v>3.091921553069153</v>
      </c>
      <c r="X57" s="227"/>
      <c r="Y57" s="187">
        <f>(units!$B$4*(units!$B$25*F57*1.2+units!$D$25*G57*1.2+units!$E$25*H57*1.2)+(F57*1.2*units!$B$33+G57*1.2*units!$D$33+H57*1.2*units!$E$33)+(F57*1.2*units!$B$37+G57*1.2*units!$D$37+H57*1.2*units!$E$37))</f>
        <v>0.45588856783216786</v>
      </c>
      <c r="Z57" s="187">
        <f>units!$F$10*(((F57*1.2/units!$B$21)*60)+((G57*1.2/units!$D$21)*60)+((H57*1.2/units!$E$21)*60))/60</f>
        <v>0.05466200466200467</v>
      </c>
      <c r="AA57" s="187">
        <f>units!$H$10*(((F57*1.2/units!$B$21)*60)+((G57*1.2/units!$D$21)*60)+((H57*1.2/units!$E$21)*60))/60</f>
        <v>0.5509641873278236</v>
      </c>
      <c r="AB57" s="187">
        <f t="shared" si="20"/>
        <v>0.26537868995549907</v>
      </c>
      <c r="AC57" s="187">
        <f t="shared" si="21"/>
        <v>0.1990340174666243</v>
      </c>
      <c r="AD57" s="188">
        <f t="shared" si="22"/>
        <v>1.5259274672441197</v>
      </c>
      <c r="AE57" s="229"/>
      <c r="AF57" s="188">
        <f>IF(E57=units!$N$8,P57,"")</f>
        <v>4.574244850789951</v>
      </c>
      <c r="AG57" s="188">
        <f>IF(E57=units!$M$8,W57,"")</f>
      </c>
      <c r="AH57" s="188">
        <f>IF(E57=units!$L$8,AD57,"")</f>
      </c>
      <c r="AI57" s="188">
        <f t="shared" si="23"/>
        <v>4.574244850789951</v>
      </c>
      <c r="AJ57" s="199">
        <v>2</v>
      </c>
      <c r="AK57" s="255">
        <f t="shared" si="24"/>
        <v>9.148489701579901</v>
      </c>
      <c r="AL57" s="256">
        <f t="shared" si="12"/>
        <v>1600.9856977764828</v>
      </c>
      <c r="AM57" s="144"/>
      <c r="AN57" s="243"/>
      <c r="AO57" s="247"/>
    </row>
    <row r="58" spans="1:41" s="139" customFormat="1" ht="15.75">
      <c r="A58" s="294">
        <v>49</v>
      </c>
      <c r="B58" s="191" t="s">
        <v>148</v>
      </c>
      <c r="C58" s="182">
        <v>41</v>
      </c>
      <c r="D58" s="191" t="s">
        <v>149</v>
      </c>
      <c r="E58" s="192" t="str">
        <f>IF(ISNUMBER(C58),IF(C58&lt;=units!$L$7,units!$L$8,IF(C58&lt;=units!$N$7,units!$M$8,IF(C58&gt;units!$O$8,"OXI",units!$N$8))),"--")</f>
        <v>BUS</v>
      </c>
      <c r="F58" s="183">
        <v>5</v>
      </c>
      <c r="G58" s="184">
        <v>0</v>
      </c>
      <c r="H58" s="185">
        <v>0</v>
      </c>
      <c r="I58" s="186">
        <f t="shared" si="13"/>
        <v>5</v>
      </c>
      <c r="J58" s="282"/>
      <c r="K58" s="277">
        <f>(units!$B$4*(F58*1.2*units!$B$23+G58*1.2*units!$D$23+H58*1.2*units!$E$23))+(F58*1.2*units!$B$31+G58*1.2*units!$D$31+H58*1.2*units!$E$31)+(F58*1.2*units!$B$35+G58*1.2*units!$D$35+H58*1.2*units!$E$35)</f>
        <v>7.7708773846153845</v>
      </c>
      <c r="L58" s="187">
        <f>units!$F$8*((F58*1.2/units!$B$19)*60+((G58*1.2/units!$D$19)*60)+((H58*1.2/units!$E$19)*60))/60</f>
        <v>3.2382478632478637</v>
      </c>
      <c r="M58" s="187">
        <f>units!$H$8*((F58*1.2/units!$B$19)*60+((G58*1.2/units!$D$19)*60)+((H58*1.2/units!$E$19)*60))/60</f>
        <v>6.0606060606060606</v>
      </c>
      <c r="N58" s="187">
        <f t="shared" si="14"/>
        <v>4.267432827117327</v>
      </c>
      <c r="O58" s="187">
        <f t="shared" si="15"/>
        <v>3.200574620337995</v>
      </c>
      <c r="P58" s="188">
        <f t="shared" si="16"/>
        <v>24.53773875592463</v>
      </c>
      <c r="Q58" s="189"/>
      <c r="R58" s="187">
        <f>(F58*1.2*units!$B$36+G58*1.2*units!$D$36+H58*1.2*units!$E$36)+(F58*1.2*units!$B$32+G58*1.2*units!$D$32+H58*1.2*units!$E$32)+(units!$B$4*(F58*1.2*units!$B$24+G58*1.2*units!$D$24+H58*1.2*units!$E$24))</f>
        <v>3.776646692307692</v>
      </c>
      <c r="S58" s="187">
        <f>units!$F$9*(((F58*1.2/units!$B$20)*60)+((G58*1.2/units!$D$20)*60)+((H58*1.2/units!$E$20)*60))/60</f>
        <v>1.7881944444444442</v>
      </c>
      <c r="T58" s="187">
        <f>units!$H$9*(((F58*1.2/units!$B$20)*60)+((G58*1.2/units!$D$20)*60)+((H58*1.2/units!$E$20)*60))/60</f>
        <v>5.050505050505051</v>
      </c>
      <c r="U58" s="187">
        <f t="shared" si="17"/>
        <v>2.653836546814297</v>
      </c>
      <c r="V58" s="187">
        <f t="shared" si="18"/>
        <v>1.9903774101107228</v>
      </c>
      <c r="W58" s="188">
        <f t="shared" si="19"/>
        <v>15.259560144182208</v>
      </c>
      <c r="X58" s="189"/>
      <c r="Y58" s="187">
        <f>(units!$B$4*(units!$B$25*F58*1.2+units!$D$25*G58*1.2+units!$E$25*H58*1.2)+(F58*1.2*units!$B$33+G58*1.2*units!$D$33+H58*1.2*units!$E$33)+(F58*1.2*units!$B$37+G58*1.2*units!$D$37+H58*1.2*units!$E$37))</f>
        <v>1.2982962692307691</v>
      </c>
      <c r="Z58" s="187">
        <f>units!$F$10*(((F58*1.2/units!$B$21)*60)+((G58*1.2/units!$D$21)*60)+((H58*1.2/units!$E$21)*60))/60</f>
        <v>0.2505341880341881</v>
      </c>
      <c r="AA58" s="187">
        <f>units!$H$10*(((F58*1.2/units!$B$21)*60)+((G58*1.2/units!$D$21)*60)+((H58*1.2/units!$E$21)*60))/60</f>
        <v>2.525252525252525</v>
      </c>
      <c r="AB58" s="187">
        <f t="shared" si="20"/>
        <v>1.0185207456293706</v>
      </c>
      <c r="AC58" s="187">
        <f t="shared" si="21"/>
        <v>0.7638905592220279</v>
      </c>
      <c r="AD58" s="188">
        <f t="shared" si="22"/>
        <v>5.85649428736888</v>
      </c>
      <c r="AE58" s="190"/>
      <c r="AF58" s="188">
        <f>IF(E58=units!$N$8,P58,"")</f>
        <v>24.53773875592463</v>
      </c>
      <c r="AG58" s="188">
        <f>IF(E58=units!$M$8,W58,"")</f>
      </c>
      <c r="AH58" s="188">
        <f>IF(E58=units!$L$8,AD58,"")</f>
      </c>
      <c r="AI58" s="188">
        <f t="shared" si="23"/>
        <v>24.53773875592463</v>
      </c>
      <c r="AJ58" s="199">
        <v>2</v>
      </c>
      <c r="AK58" s="255">
        <f t="shared" si="24"/>
        <v>49.07547751184926</v>
      </c>
      <c r="AL58" s="256">
        <f t="shared" si="12"/>
        <v>8588.20856457362</v>
      </c>
      <c r="AM58" s="144"/>
      <c r="AN58" s="243"/>
      <c r="AO58" s="247"/>
    </row>
    <row r="59" spans="1:41" s="139" customFormat="1" ht="30">
      <c r="A59" s="294">
        <v>50</v>
      </c>
      <c r="B59" s="191" t="s">
        <v>148</v>
      </c>
      <c r="C59" s="182">
        <v>58</v>
      </c>
      <c r="D59" s="226" t="s">
        <v>262</v>
      </c>
      <c r="E59" s="192" t="str">
        <f>IF(ISNUMBER(C59),IF(C59&lt;=units!$L$7,units!$L$8,IF(C59&lt;=units!$N$7,units!$M$8,IF(C59&gt;units!$O$8,"OXI",units!$N$8))),"--")</f>
        <v>BUS</v>
      </c>
      <c r="F59" s="183">
        <v>12</v>
      </c>
      <c r="G59" s="184">
        <v>0</v>
      </c>
      <c r="H59" s="185">
        <v>0</v>
      </c>
      <c r="I59" s="186">
        <f t="shared" si="13"/>
        <v>12</v>
      </c>
      <c r="J59" s="282"/>
      <c r="K59" s="277">
        <f>(units!$B$4*(F59*1.2*units!$B$23+G59*1.2*units!$D$23+H59*1.2*units!$E$23))+(F59*1.2*units!$B$31+G59*1.2*units!$D$31+H59*1.2*units!$E$31)+(F59*1.2*units!$B$35+G59*1.2*units!$D$35+H59*1.2*units!$E$35)</f>
        <v>18.65010572307692</v>
      </c>
      <c r="L59" s="187">
        <f>units!$F$8*((F59*1.2/units!$B$19)*60+((G59*1.2/units!$D$19)*60)+((H59*1.2/units!$E$19)*60))/60</f>
        <v>7.771794871794872</v>
      </c>
      <c r="M59" s="187">
        <f>units!$H$8*((F59*1.2/units!$B$19)*60+((G59*1.2/units!$D$19)*60)+((H59*1.2/units!$E$19)*60))/60</f>
        <v>14.545454545454543</v>
      </c>
      <c r="N59" s="187">
        <f t="shared" si="14"/>
        <v>10.241838785081583</v>
      </c>
      <c r="O59" s="187">
        <f t="shared" si="15"/>
        <v>7.6813790888111875</v>
      </c>
      <c r="P59" s="188">
        <f t="shared" si="16"/>
        <v>58.8905730142191</v>
      </c>
      <c r="Q59" s="227"/>
      <c r="R59" s="187">
        <f>(F59*1.2*units!$B$36+G59*1.2*units!$D$36+H59*1.2*units!$E$36)+(F59*1.2*units!$B$32+G59*1.2*units!$D$32+H59*1.2*units!$E$32)+(units!$B$4*(F59*1.2*units!$B$24+G59*1.2*units!$D$24+H59*1.2*units!$E$24))</f>
        <v>9.06395206153846</v>
      </c>
      <c r="S59" s="187">
        <f>units!$F$9*(((F59*1.2/units!$B$20)*60)+((G59*1.2/units!$D$20)*60)+((H59*1.2/units!$E$20)*60))/60</f>
        <v>4.291666666666666</v>
      </c>
      <c r="T59" s="187">
        <f>units!$H$9*(((F59*1.2/units!$B$20)*60)+((G59*1.2/units!$D$20)*60)+((H59*1.2/units!$E$20)*60))/60</f>
        <v>12.121212121212121</v>
      </c>
      <c r="U59" s="187">
        <f t="shared" si="17"/>
        <v>6.369207712354312</v>
      </c>
      <c r="V59" s="187">
        <f t="shared" si="18"/>
        <v>4.776905784265733</v>
      </c>
      <c r="W59" s="228">
        <f t="shared" si="19"/>
        <v>36.62294434603729</v>
      </c>
      <c r="X59" s="227"/>
      <c r="Y59" s="187">
        <f>(units!$B$4*(units!$B$25*F59*1.2+units!$D$25*G59*1.2+units!$E$25*H59*1.2)+(F59*1.2*units!$B$33+G59*1.2*units!$D$33+H59*1.2*units!$E$33)+(F59*1.2*units!$B$37+G59*1.2*units!$D$37+H59*1.2*units!$E$37))</f>
        <v>3.1159110461538457</v>
      </c>
      <c r="Z59" s="187">
        <f>units!$F$10*(((F59*1.2/units!$B$21)*60)+((G59*1.2/units!$D$21)*60)+((H59*1.2/units!$E$21)*60))/60</f>
        <v>0.6012820512820514</v>
      </c>
      <c r="AA59" s="187">
        <f>units!$H$10*(((F59*1.2/units!$B$21)*60)+((G59*1.2/units!$D$21)*60)+((H59*1.2/units!$E$21)*60))/60</f>
        <v>6.0606060606060606</v>
      </c>
      <c r="AB59" s="187">
        <f t="shared" si="20"/>
        <v>2.4444497895104895</v>
      </c>
      <c r="AC59" s="187">
        <f t="shared" si="21"/>
        <v>1.8333373421328671</v>
      </c>
      <c r="AD59" s="188">
        <f t="shared" si="22"/>
        <v>14.055586289685316</v>
      </c>
      <c r="AE59" s="229"/>
      <c r="AF59" s="188">
        <f>IF(E59=units!$N$8,P59,"")</f>
        <v>58.8905730142191</v>
      </c>
      <c r="AG59" s="188">
        <f>IF(E59=units!$M$8,W59,"")</f>
      </c>
      <c r="AH59" s="188">
        <f>IF(E59=units!$L$8,AD59,"")</f>
      </c>
      <c r="AI59" s="188">
        <f t="shared" si="23"/>
        <v>58.8905730142191</v>
      </c>
      <c r="AJ59" s="199">
        <v>4</v>
      </c>
      <c r="AK59" s="255">
        <f t="shared" si="24"/>
        <v>235.5622920568764</v>
      </c>
      <c r="AL59" s="256">
        <f t="shared" si="12"/>
        <v>41223.40110995337</v>
      </c>
      <c r="AM59" s="144"/>
      <c r="AN59" s="243"/>
      <c r="AO59" s="247"/>
    </row>
    <row r="60" spans="1:41" s="139" customFormat="1" ht="30">
      <c r="A60" s="294">
        <v>51</v>
      </c>
      <c r="B60" s="191" t="s">
        <v>151</v>
      </c>
      <c r="C60" s="182">
        <v>41</v>
      </c>
      <c r="D60" s="226" t="s">
        <v>150</v>
      </c>
      <c r="E60" s="192" t="str">
        <f>IF(ISNUMBER(C60),IF(C60&lt;=units!$L$7,units!$L$8,IF(C60&lt;=units!$N$7,units!$M$8,IF(C60&gt;units!$O$8,"OXI",units!$N$8))),"--")</f>
        <v>BUS</v>
      </c>
      <c r="F60" s="183">
        <v>12</v>
      </c>
      <c r="G60" s="184">
        <v>0</v>
      </c>
      <c r="H60" s="185">
        <v>0</v>
      </c>
      <c r="I60" s="186">
        <f t="shared" si="13"/>
        <v>12</v>
      </c>
      <c r="J60" s="282"/>
      <c r="K60" s="277">
        <f>(units!$B$4*(F60*1.2*units!$B$23+G60*1.2*units!$D$23+H60*1.2*units!$E$23))+(F60*1.2*units!$B$31+G60*1.2*units!$D$31+H60*1.2*units!$E$31)+(F60*1.2*units!$B$35+G60*1.2*units!$D$35+H60*1.2*units!$E$35)</f>
        <v>18.65010572307692</v>
      </c>
      <c r="L60" s="187">
        <f>units!$F$8*((F60*1.2/units!$B$19)*60+((G60*1.2/units!$D$19)*60)+((H60*1.2/units!$E$19)*60))/60</f>
        <v>7.771794871794872</v>
      </c>
      <c r="M60" s="187">
        <f>units!$H$8*((F60*1.2/units!$B$19)*60+((G60*1.2/units!$D$19)*60)+((H60*1.2/units!$E$19)*60))/60</f>
        <v>14.545454545454543</v>
      </c>
      <c r="N60" s="187">
        <f t="shared" si="14"/>
        <v>10.241838785081583</v>
      </c>
      <c r="O60" s="187">
        <f t="shared" si="15"/>
        <v>7.6813790888111875</v>
      </c>
      <c r="P60" s="188">
        <f t="shared" si="16"/>
        <v>58.8905730142191</v>
      </c>
      <c r="Q60" s="189"/>
      <c r="R60" s="187">
        <f>(F60*1.2*units!$B$36+G60*1.2*units!$D$36+H60*1.2*units!$E$36)+(F60*1.2*units!$B$32+G60*1.2*units!$D$32+H60*1.2*units!$E$32)+(units!$B$4*(F60*1.2*units!$B$24+G60*1.2*units!$D$24+H60*1.2*units!$E$24))</f>
        <v>9.06395206153846</v>
      </c>
      <c r="S60" s="187">
        <f>units!$F$9*(((F60*1.2/units!$B$20)*60)+((G60*1.2/units!$D$20)*60)+((H60*1.2/units!$E$20)*60))/60</f>
        <v>4.291666666666666</v>
      </c>
      <c r="T60" s="187">
        <f>units!$H$9*(((F60*1.2/units!$B$20)*60)+((G60*1.2/units!$D$20)*60)+((H60*1.2/units!$E$20)*60))/60</f>
        <v>12.121212121212121</v>
      </c>
      <c r="U60" s="187">
        <f t="shared" si="17"/>
        <v>6.369207712354312</v>
      </c>
      <c r="V60" s="187">
        <f t="shared" si="18"/>
        <v>4.776905784265733</v>
      </c>
      <c r="W60" s="188">
        <f t="shared" si="19"/>
        <v>36.62294434603729</v>
      </c>
      <c r="X60" s="189"/>
      <c r="Y60" s="187">
        <f>(units!$B$4*(units!$B$25*F60*1.2+units!$D$25*G60*1.2+units!$E$25*H60*1.2)+(F60*1.2*units!$B$33+G60*1.2*units!$D$33+H60*1.2*units!$E$33)+(F60*1.2*units!$B$37+G60*1.2*units!$D$37+H60*1.2*units!$E$37))</f>
        <v>3.1159110461538457</v>
      </c>
      <c r="Z60" s="187">
        <f>units!$F$10*(((F60*1.2/units!$B$21)*60)+((G60*1.2/units!$D$21)*60)+((H60*1.2/units!$E$21)*60))/60</f>
        <v>0.6012820512820514</v>
      </c>
      <c r="AA60" s="187">
        <f>units!$H$10*(((F60*1.2/units!$B$21)*60)+((G60*1.2/units!$D$21)*60)+((H60*1.2/units!$E$21)*60))/60</f>
        <v>6.0606060606060606</v>
      </c>
      <c r="AB60" s="187">
        <f t="shared" si="20"/>
        <v>2.4444497895104895</v>
      </c>
      <c r="AC60" s="187">
        <f t="shared" si="21"/>
        <v>1.8333373421328671</v>
      </c>
      <c r="AD60" s="188">
        <f t="shared" si="22"/>
        <v>14.055586289685316</v>
      </c>
      <c r="AE60" s="190"/>
      <c r="AF60" s="188">
        <f>IF(E60=units!$N$8,P60,"")</f>
        <v>58.8905730142191</v>
      </c>
      <c r="AG60" s="188">
        <f>IF(E60=units!$M$8,W60,"")</f>
      </c>
      <c r="AH60" s="188">
        <f>IF(E60=units!$L$8,AD60,"")</f>
      </c>
      <c r="AI60" s="188">
        <f t="shared" si="23"/>
        <v>58.8905730142191</v>
      </c>
      <c r="AJ60" s="199">
        <v>2</v>
      </c>
      <c r="AK60" s="255">
        <f t="shared" si="24"/>
        <v>117.7811460284382</v>
      </c>
      <c r="AL60" s="256">
        <f t="shared" si="12"/>
        <v>20611.700554976684</v>
      </c>
      <c r="AM60" s="142"/>
      <c r="AN60" s="240"/>
      <c r="AO60" s="247"/>
    </row>
    <row r="61" spans="1:41" s="139" customFormat="1" ht="30">
      <c r="A61" s="294">
        <v>52</v>
      </c>
      <c r="B61" s="191" t="s">
        <v>222</v>
      </c>
      <c r="C61" s="231">
        <v>4</v>
      </c>
      <c r="D61" s="226" t="s">
        <v>164</v>
      </c>
      <c r="E61" s="192" t="str">
        <f>IF(ISNUMBER(C61),IF(C61&lt;=units!$L$7,units!$L$8,IF(C61&lt;=units!$N$7,units!$M$8,IF(C61&gt;units!$O$8,"OXI",units!$N$8))),"--")</f>
        <v>TAXI</v>
      </c>
      <c r="F61" s="183">
        <v>0</v>
      </c>
      <c r="G61" s="184">
        <v>0</v>
      </c>
      <c r="H61" s="185">
        <v>35</v>
      </c>
      <c r="I61" s="186">
        <f t="shared" si="13"/>
        <v>35</v>
      </c>
      <c r="J61" s="282"/>
      <c r="K61" s="277">
        <f>(units!$B$4*(F61*1.2*units!$B$23+G61*1.2*units!$D$23+H61*1.2*units!$E$23))+(F61*1.2*units!$B$31+G61*1.2*units!$D$31+H61*1.2*units!$E$31)+(F61*1.2*units!$B$35+G61*1.2*units!$D$35+H61*1.2*units!$E$35)</f>
        <v>53.610778153846155</v>
      </c>
      <c r="L61" s="187">
        <f>units!$F$8*((F61*1.2/units!$B$19)*60+((G61*1.2/units!$D$19)*60)+((H61*1.2/units!$E$19)*60))/60</f>
        <v>9.714743589743591</v>
      </c>
      <c r="M61" s="187">
        <f>units!$H$8*((F61*1.2/units!$B$19)*60+((G61*1.2/units!$D$19)*60)+((H61*1.2/units!$E$19)*60))/60</f>
        <v>18.181818181818183</v>
      </c>
      <c r="N61" s="187">
        <f t="shared" si="14"/>
        <v>20.376834981351983</v>
      </c>
      <c r="O61" s="187">
        <f t="shared" si="15"/>
        <v>15.282626236013986</v>
      </c>
      <c r="P61" s="188">
        <f t="shared" si="16"/>
        <v>117.16680114277389</v>
      </c>
      <c r="Q61" s="227"/>
      <c r="R61" s="187">
        <f>(F61*1.2*units!$B$36+G61*1.2*units!$D$36+H61*1.2*units!$E$36)+(F61*1.2*units!$B$32+G61*1.2*units!$D$32+H61*1.2*units!$E$32)+(units!$B$4*(F61*1.2*units!$B$24+G61*1.2*units!$D$24+H61*1.2*units!$E$24))</f>
        <v>23.66064369230769</v>
      </c>
      <c r="S61" s="187">
        <f>units!$F$9*(((F61*1.2/units!$B$20)*60)+((G61*1.2/units!$D$20)*60)+((H61*1.2/units!$E$20)*60))/60</f>
        <v>6.4375</v>
      </c>
      <c r="T61" s="187">
        <f>units!$H$9*(((F61*1.2/units!$B$20)*60)+((G61*1.2/units!$D$20)*60)+((H61*1.2/units!$E$20)*60))/60</f>
        <v>18.181818181818183</v>
      </c>
      <c r="U61" s="187">
        <f t="shared" si="17"/>
        <v>12.069990468531469</v>
      </c>
      <c r="V61" s="187">
        <f t="shared" si="18"/>
        <v>9.052492851398602</v>
      </c>
      <c r="W61" s="228">
        <f t="shared" si="19"/>
        <v>69.40244519405594</v>
      </c>
      <c r="X61" s="227"/>
      <c r="Y61" s="187">
        <f>(units!$B$4*(units!$B$25*F61*1.2+units!$D$25*G61*1.2+units!$E$25*H61*1.2)+(F61*1.2*units!$B$33+G61*1.2*units!$D$33+H61*1.2*units!$E$33)+(F61*1.2*units!$B$37+G61*1.2*units!$D$37+H61*1.2*units!$E$37))</f>
        <v>9.328905923076924</v>
      </c>
      <c r="Z61" s="187">
        <f>units!$F$10*(((F61*1.2/units!$B$21)*60)+((G61*1.2/units!$D$21)*60)+((H61*1.2/units!$E$21)*60))/60</f>
        <v>1.1691595441595444</v>
      </c>
      <c r="AA61" s="187">
        <f>units!$H$10*(((F61*1.2/units!$B$21)*60)+((G61*1.2/units!$D$21)*60)+((H61*1.2/units!$E$21)*60))/60</f>
        <v>11.784511784511784</v>
      </c>
      <c r="AB61" s="187">
        <f t="shared" si="20"/>
        <v>5.570644312937063</v>
      </c>
      <c r="AC61" s="187">
        <f t="shared" si="21"/>
        <v>4.177983234702797</v>
      </c>
      <c r="AD61" s="188">
        <f t="shared" si="22"/>
        <v>32.03120479938811</v>
      </c>
      <c r="AE61" s="229"/>
      <c r="AF61" s="188">
        <f>IF(E61=units!$N$8,P61,"")</f>
      </c>
      <c r="AG61" s="188">
        <f>IF(E61=units!$M$8,W61,"")</f>
      </c>
      <c r="AH61" s="188">
        <f>IF(E61=units!$L$8,AD61,"")</f>
        <v>32.03120479938811</v>
      </c>
      <c r="AI61" s="188">
        <f t="shared" si="23"/>
        <v>32.03120479938811</v>
      </c>
      <c r="AJ61" s="199">
        <v>8</v>
      </c>
      <c r="AK61" s="255">
        <f t="shared" si="24"/>
        <v>256.24963839510485</v>
      </c>
      <c r="AL61" s="256">
        <f t="shared" si="12"/>
        <v>44843.68671914335</v>
      </c>
      <c r="AM61" s="142"/>
      <c r="AN61" s="246"/>
      <c r="AO61" s="247"/>
    </row>
    <row r="62" spans="1:41" s="139" customFormat="1" ht="15.75">
      <c r="A62" s="294">
        <v>53</v>
      </c>
      <c r="B62" s="191" t="s">
        <v>223</v>
      </c>
      <c r="C62" s="231">
        <v>4</v>
      </c>
      <c r="D62" s="191" t="s">
        <v>156</v>
      </c>
      <c r="E62" s="192" t="str">
        <f>IF(ISNUMBER(C62),IF(C62&lt;=units!$L$7,units!$L$8,IF(C62&lt;=units!$N$7,units!$M$8,IF(C62&gt;units!$O$8,"OXI",units!$N$8))),"--")</f>
        <v>TAXI</v>
      </c>
      <c r="F62" s="183">
        <v>0</v>
      </c>
      <c r="G62" s="184">
        <v>0</v>
      </c>
      <c r="H62" s="185">
        <v>36</v>
      </c>
      <c r="I62" s="186">
        <f t="shared" si="13"/>
        <v>36</v>
      </c>
      <c r="J62" s="282"/>
      <c r="K62" s="277">
        <f>(units!$B$4*(F62*1.2*units!$B$23+G62*1.2*units!$D$23+H62*1.2*units!$E$23))+(F62*1.2*units!$B$31+G62*1.2*units!$D$31+H62*1.2*units!$E$31)+(F62*1.2*units!$B$35+G62*1.2*units!$D$35+H62*1.2*units!$E$35)</f>
        <v>55.14251467252747</v>
      </c>
      <c r="L62" s="187">
        <f>units!$F$8*((F62*1.2/units!$B$19)*60+((G62*1.2/units!$D$19)*60)+((H62*1.2/units!$E$19)*60))/60</f>
        <v>9.992307692307692</v>
      </c>
      <c r="M62" s="187">
        <f>units!$H$8*((F62*1.2/units!$B$19)*60+((G62*1.2/units!$D$19)*60)+((H62*1.2/units!$E$19)*60))/60</f>
        <v>18.7012987012987</v>
      </c>
      <c r="N62" s="187">
        <f t="shared" si="14"/>
        <v>20.959030266533464</v>
      </c>
      <c r="O62" s="187">
        <f t="shared" si="15"/>
        <v>15.719272699900097</v>
      </c>
      <c r="P62" s="188">
        <f t="shared" si="16"/>
        <v>120.51442403256742</v>
      </c>
      <c r="Q62" s="189"/>
      <c r="R62" s="187">
        <f>(F62*1.2*units!$B$36+G62*1.2*units!$D$36+H62*1.2*units!$E$36)+(F62*1.2*units!$B$32+G62*1.2*units!$D$32+H62*1.2*units!$E$32)+(units!$B$4*(F62*1.2*units!$B$24+G62*1.2*units!$D$24+H62*1.2*units!$E$24))</f>
        <v>24.33666208351648</v>
      </c>
      <c r="S62" s="187">
        <f>units!$F$9*(((F62*1.2/units!$B$20)*60)+((G62*1.2/units!$D$20)*60)+((H62*1.2/units!$E$20)*60))/60</f>
        <v>6.62142857142857</v>
      </c>
      <c r="T62" s="187">
        <f>units!$H$9*(((F62*1.2/units!$B$20)*60)+((G62*1.2/units!$D$20)*60)+((H62*1.2/units!$E$20)*60))/60</f>
        <v>18.7012987012987</v>
      </c>
      <c r="U62" s="187">
        <f t="shared" si="17"/>
        <v>12.414847339060938</v>
      </c>
      <c r="V62" s="187">
        <f t="shared" si="18"/>
        <v>9.311135504295704</v>
      </c>
      <c r="W62" s="188">
        <f t="shared" si="19"/>
        <v>71.3853721996004</v>
      </c>
      <c r="X62" s="189"/>
      <c r="Y62" s="187">
        <f>(units!$B$4*(units!$B$25*F62*1.2+units!$D$25*G62*1.2+units!$E$25*H62*1.2)+(F62*1.2*units!$B$33+G62*1.2*units!$D$33+H62*1.2*units!$E$33)+(F62*1.2*units!$B$37+G62*1.2*units!$D$37+H62*1.2*units!$E$37))</f>
        <v>9.595446092307691</v>
      </c>
      <c r="Z62" s="187">
        <f>units!$F$10*(((F62*1.2/units!$B$21)*60)+((G62*1.2/units!$D$21)*60)+((H62*1.2/units!$E$21)*60))/60</f>
        <v>1.2025641025641027</v>
      </c>
      <c r="AA62" s="187">
        <f>units!$H$10*(((F62*1.2/units!$B$21)*60)+((G62*1.2/units!$D$21)*60)+((H62*1.2/units!$E$21)*60))/60</f>
        <v>12.121212121212121</v>
      </c>
      <c r="AB62" s="187">
        <f t="shared" si="20"/>
        <v>5.7298055790209785</v>
      </c>
      <c r="AC62" s="187">
        <f t="shared" si="21"/>
        <v>4.297354184265734</v>
      </c>
      <c r="AD62" s="188">
        <f t="shared" si="22"/>
        <v>32.94638207937063</v>
      </c>
      <c r="AE62" s="190"/>
      <c r="AF62" s="188">
        <f>IF(E62=units!$N$8,P62,"")</f>
      </c>
      <c r="AG62" s="188">
        <f>IF(E62=units!$M$8,W62,"")</f>
      </c>
      <c r="AH62" s="188">
        <f>IF(E62=units!$L$8,AD62,"")</f>
        <v>32.94638207937063</v>
      </c>
      <c r="AI62" s="188">
        <f t="shared" si="23"/>
        <v>32.94638207937063</v>
      </c>
      <c r="AJ62" s="199">
        <v>12</v>
      </c>
      <c r="AK62" s="255">
        <f t="shared" si="24"/>
        <v>395.3565849524475</v>
      </c>
      <c r="AL62" s="256">
        <f t="shared" si="12"/>
        <v>69187.40236667832</v>
      </c>
      <c r="AM62" s="142"/>
      <c r="AN62" s="246"/>
      <c r="AO62" s="247"/>
    </row>
    <row r="63" spans="1:41" s="139" customFormat="1" ht="15.75">
      <c r="A63" s="294">
        <v>54</v>
      </c>
      <c r="B63" s="191" t="s">
        <v>263</v>
      </c>
      <c r="C63" s="231">
        <v>4</v>
      </c>
      <c r="D63" s="226" t="s">
        <v>157</v>
      </c>
      <c r="E63" s="192" t="str">
        <f>IF(ISNUMBER(C63),IF(C63&lt;=units!$L$7,units!$L$8,IF(C63&lt;=units!$N$7,units!$M$8,IF(C63&gt;units!$O$8,"OXI",units!$N$8))),"--")</f>
        <v>TAXI</v>
      </c>
      <c r="F63" s="183">
        <v>8</v>
      </c>
      <c r="G63" s="184">
        <v>0</v>
      </c>
      <c r="H63" s="185">
        <v>0</v>
      </c>
      <c r="I63" s="186">
        <f t="shared" si="13"/>
        <v>8</v>
      </c>
      <c r="J63" s="282"/>
      <c r="K63" s="277">
        <f>(units!$B$4*(F63*1.2*units!$B$23+G63*1.2*units!$D$23+H63*1.2*units!$E$23))+(F63*1.2*units!$B$31+G63*1.2*units!$D$31+H63*1.2*units!$E$31)+(F63*1.2*units!$B$35+G63*1.2*units!$D$35+H63*1.2*units!$E$35)</f>
        <v>12.433403815384615</v>
      </c>
      <c r="L63" s="187">
        <f>units!$F$8*((F63*1.2/units!$B$19)*60+((G63*1.2/units!$D$19)*60)+((H63*1.2/units!$E$19)*60))/60</f>
        <v>5.181196581196582</v>
      </c>
      <c r="M63" s="187">
        <f>units!$H$8*((F63*1.2/units!$B$19)*60+((G63*1.2/units!$D$19)*60)+((H63*1.2/units!$E$19)*60))/60</f>
        <v>9.696969696969697</v>
      </c>
      <c r="N63" s="187">
        <f t="shared" si="14"/>
        <v>6.827892523387723</v>
      </c>
      <c r="O63" s="187">
        <f t="shared" si="15"/>
        <v>5.1209193925407925</v>
      </c>
      <c r="P63" s="188">
        <f t="shared" si="16"/>
        <v>39.26038200947941</v>
      </c>
      <c r="Q63" s="227"/>
      <c r="R63" s="187">
        <f>(F63*1.2*units!$B$36+G63*1.2*units!$D$36+H63*1.2*units!$E$36)+(F63*1.2*units!$B$32+G63*1.2*units!$D$32+H63*1.2*units!$E$32)+(units!$B$4*(F63*1.2*units!$B$24+G63*1.2*units!$D$24+H63*1.2*units!$E$24))</f>
        <v>6.042634707692307</v>
      </c>
      <c r="S63" s="187">
        <f>units!$F$9*(((F63*1.2/units!$B$20)*60)+((G63*1.2/units!$D$20)*60)+((H63*1.2/units!$E$20)*60))/60</f>
        <v>2.861111111111111</v>
      </c>
      <c r="T63" s="187">
        <f>units!$H$9*(((F63*1.2/units!$B$20)*60)+((G63*1.2/units!$D$20)*60)+((H63*1.2/units!$E$20)*60))/60</f>
        <v>8.080808080808081</v>
      </c>
      <c r="U63" s="187">
        <f t="shared" si="17"/>
        <v>4.2461384749028745</v>
      </c>
      <c r="V63" s="187">
        <f t="shared" si="18"/>
        <v>3.184603856177156</v>
      </c>
      <c r="W63" s="228">
        <f t="shared" si="19"/>
        <v>24.415296230691528</v>
      </c>
      <c r="X63" s="227"/>
      <c r="Y63" s="187">
        <f>(units!$B$4*(units!$B$25*F63*1.2+units!$D$25*G63*1.2+units!$E$25*H63*1.2)+(F63*1.2*units!$B$33+G63*1.2*units!$D$33+H63*1.2*units!$E$33)+(F63*1.2*units!$B$37+G63*1.2*units!$D$37+H63*1.2*units!$E$37))</f>
        <v>2.077274030769231</v>
      </c>
      <c r="Z63" s="187">
        <f>units!$F$10*(((F63*1.2/units!$B$21)*60)+((G63*1.2/units!$D$21)*60)+((H63*1.2/units!$E$21)*60))/60</f>
        <v>0.40085470085470093</v>
      </c>
      <c r="AA63" s="187">
        <f>units!$H$10*(((F63*1.2/units!$B$21)*60)+((G63*1.2/units!$D$21)*60)+((H63*1.2/units!$E$21)*60))/60</f>
        <v>4.04040404040404</v>
      </c>
      <c r="AB63" s="187">
        <f t="shared" si="20"/>
        <v>1.6296331930069927</v>
      </c>
      <c r="AC63" s="187">
        <f t="shared" si="21"/>
        <v>1.2222248947552443</v>
      </c>
      <c r="AD63" s="188">
        <f t="shared" si="22"/>
        <v>9.370390859790207</v>
      </c>
      <c r="AE63" s="229"/>
      <c r="AF63" s="188">
        <f>IF(E63=units!$N$8,P63,"")</f>
      </c>
      <c r="AG63" s="188">
        <f>IF(E63=units!$M$8,W63,"")</f>
      </c>
      <c r="AH63" s="188">
        <f>IF(E63=units!$L$8,AD63,"")</f>
        <v>9.370390859790207</v>
      </c>
      <c r="AI63" s="188">
        <f t="shared" si="23"/>
        <v>9.370390859790207</v>
      </c>
      <c r="AJ63" s="199">
        <v>4</v>
      </c>
      <c r="AK63" s="255">
        <f t="shared" si="24"/>
        <v>37.48156343916083</v>
      </c>
      <c r="AL63" s="256">
        <f t="shared" si="12"/>
        <v>6559.273601853145</v>
      </c>
      <c r="AM63" s="247"/>
      <c r="AN63" s="242"/>
      <c r="AO63" s="247"/>
    </row>
    <row r="64" spans="1:41" s="139" customFormat="1" ht="30">
      <c r="A64" s="294">
        <v>55</v>
      </c>
      <c r="B64" s="191" t="s">
        <v>224</v>
      </c>
      <c r="C64" s="231">
        <v>4</v>
      </c>
      <c r="D64" s="191" t="s">
        <v>165</v>
      </c>
      <c r="E64" s="192" t="str">
        <f>IF(ISNUMBER(C64),IF(C64&lt;=units!$L$7,units!$L$8,IF(C64&lt;=units!$N$7,units!$M$8,IF(C64&gt;units!$O$8,"OXI",units!$N$8))),"--")</f>
        <v>TAXI</v>
      </c>
      <c r="F64" s="183">
        <v>0</v>
      </c>
      <c r="G64" s="184">
        <v>0</v>
      </c>
      <c r="H64" s="185">
        <v>35</v>
      </c>
      <c r="I64" s="186">
        <f t="shared" si="13"/>
        <v>35</v>
      </c>
      <c r="J64" s="282"/>
      <c r="K64" s="277">
        <f>(units!$B$4*(F64*1.2*units!$B$23+G64*1.2*units!$D$23+H64*1.2*units!$E$23))+(F64*1.2*units!$B$31+G64*1.2*units!$D$31+H64*1.2*units!$E$31)+(F64*1.2*units!$B$35+G64*1.2*units!$D$35+H64*1.2*units!$E$35)</f>
        <v>53.610778153846155</v>
      </c>
      <c r="L64" s="187">
        <f>units!$F$8*((F64*1.2/units!$B$19)*60+((G64*1.2/units!$D$19)*60)+((H64*1.2/units!$E$19)*60))/60</f>
        <v>9.714743589743591</v>
      </c>
      <c r="M64" s="187">
        <f>units!$H$8*((F64*1.2/units!$B$19)*60+((G64*1.2/units!$D$19)*60)+((H64*1.2/units!$E$19)*60))/60</f>
        <v>18.181818181818183</v>
      </c>
      <c r="N64" s="187">
        <f t="shared" si="14"/>
        <v>20.376834981351983</v>
      </c>
      <c r="O64" s="187">
        <f t="shared" si="15"/>
        <v>15.282626236013986</v>
      </c>
      <c r="P64" s="188">
        <f t="shared" si="16"/>
        <v>117.16680114277389</v>
      </c>
      <c r="Q64" s="189"/>
      <c r="R64" s="187">
        <f>(F64*1.2*units!$B$36+G64*1.2*units!$D$36+H64*1.2*units!$E$36)+(F64*1.2*units!$B$32+G64*1.2*units!$D$32+H64*1.2*units!$E$32)+(units!$B$4*(F64*1.2*units!$B$24+G64*1.2*units!$D$24+H64*1.2*units!$E$24))</f>
        <v>23.66064369230769</v>
      </c>
      <c r="S64" s="187">
        <f>units!$F$9*(((F64*1.2/units!$B$20)*60)+((G64*1.2/units!$D$20)*60)+((H64*1.2/units!$E$20)*60))/60</f>
        <v>6.4375</v>
      </c>
      <c r="T64" s="187">
        <f>units!$H$9*(((F64*1.2/units!$B$20)*60)+((G64*1.2/units!$D$20)*60)+((H64*1.2/units!$E$20)*60))/60</f>
        <v>18.181818181818183</v>
      </c>
      <c r="U64" s="187">
        <f t="shared" si="17"/>
        <v>12.069990468531469</v>
      </c>
      <c r="V64" s="187">
        <f t="shared" si="18"/>
        <v>9.052492851398602</v>
      </c>
      <c r="W64" s="188">
        <f t="shared" si="19"/>
        <v>69.40244519405594</v>
      </c>
      <c r="X64" s="189"/>
      <c r="Y64" s="187">
        <f>(units!$B$4*(units!$B$25*F64*1.2+units!$D$25*G64*1.2+units!$E$25*H64*1.2)+(F64*1.2*units!$B$33+G64*1.2*units!$D$33+H64*1.2*units!$E$33)+(F64*1.2*units!$B$37+G64*1.2*units!$D$37+H64*1.2*units!$E$37))</f>
        <v>9.328905923076924</v>
      </c>
      <c r="Z64" s="187">
        <f>units!$F$10*(((F64*1.2/units!$B$21)*60)+((G64*1.2/units!$D$21)*60)+((H64*1.2/units!$E$21)*60))/60</f>
        <v>1.1691595441595444</v>
      </c>
      <c r="AA64" s="187">
        <f>units!$H$10*(((F64*1.2/units!$B$21)*60)+((G64*1.2/units!$D$21)*60)+((H64*1.2/units!$E$21)*60))/60</f>
        <v>11.784511784511784</v>
      </c>
      <c r="AB64" s="187">
        <f t="shared" si="20"/>
        <v>5.570644312937063</v>
      </c>
      <c r="AC64" s="187">
        <f t="shared" si="21"/>
        <v>4.177983234702797</v>
      </c>
      <c r="AD64" s="188">
        <f t="shared" si="22"/>
        <v>32.03120479938811</v>
      </c>
      <c r="AE64" s="190"/>
      <c r="AF64" s="188">
        <f>IF(E64=units!$N$8,P64,"")</f>
      </c>
      <c r="AG64" s="188">
        <f>IF(E64=units!$M$8,W64,"")</f>
      </c>
      <c r="AH64" s="188">
        <f>IF(E64=units!$L$8,AD64,"")</f>
        <v>32.03120479938811</v>
      </c>
      <c r="AI64" s="188">
        <f t="shared" si="23"/>
        <v>32.03120479938811</v>
      </c>
      <c r="AJ64" s="199">
        <v>8</v>
      </c>
      <c r="AK64" s="255">
        <f t="shared" si="24"/>
        <v>256.24963839510485</v>
      </c>
      <c r="AL64" s="256">
        <f t="shared" si="12"/>
        <v>44843.68671914335</v>
      </c>
      <c r="AM64" s="142"/>
      <c r="AN64" s="242"/>
      <c r="AO64" s="247"/>
    </row>
    <row r="65" spans="1:41" s="139" customFormat="1" ht="15.75">
      <c r="A65" s="294">
        <v>56</v>
      </c>
      <c r="B65" s="191" t="s">
        <v>264</v>
      </c>
      <c r="C65" s="231">
        <v>4</v>
      </c>
      <c r="D65" s="226" t="s">
        <v>158</v>
      </c>
      <c r="E65" s="192" t="str">
        <f>IF(ISNUMBER(C65),IF(C65&lt;=units!$L$7,units!$L$8,IF(C65&lt;=units!$N$7,units!$M$8,IF(C65&gt;units!$O$8,"OXI",units!$N$8))),"--")</f>
        <v>TAXI</v>
      </c>
      <c r="F65" s="183">
        <v>0</v>
      </c>
      <c r="G65" s="184">
        <v>17</v>
      </c>
      <c r="H65" s="185">
        <v>0</v>
      </c>
      <c r="I65" s="186">
        <f t="shared" si="13"/>
        <v>17</v>
      </c>
      <c r="J65" s="282"/>
      <c r="K65" s="277">
        <f>(units!$B$4*(F65*1.2*units!$B$23+G65*1.2*units!$D$23+H65*1.2*units!$E$23))+(F65*1.2*units!$B$31+G65*1.2*units!$D$31+H65*1.2*units!$E$31)+(F65*1.2*units!$B$35+G65*1.2*units!$D$35+H65*1.2*units!$E$35)</f>
        <v>16.509007569230768</v>
      </c>
      <c r="L65" s="187">
        <f>units!$F$8*((F65*1.2/units!$B$19)*60+((G65*1.2/units!$D$19)*60)+((H65*1.2/units!$E$19)*60))/60</f>
        <v>3.6700142450142454</v>
      </c>
      <c r="M65" s="187">
        <f>units!$H$8*((F65*1.2/units!$B$19)*60+((G65*1.2/units!$D$19)*60)+((H65*1.2/units!$E$19)*60))/60</f>
        <v>6.8686868686868685</v>
      </c>
      <c r="N65" s="187">
        <f t="shared" si="14"/>
        <v>6.76192717073297</v>
      </c>
      <c r="O65" s="187">
        <f t="shared" si="15"/>
        <v>5.071445378049727</v>
      </c>
      <c r="P65" s="188">
        <f t="shared" si="16"/>
        <v>38.881081231714575</v>
      </c>
      <c r="Q65" s="227"/>
      <c r="R65" s="187">
        <f>(F65*1.2*units!$B$36+G65*1.2*units!$D$36+H65*1.2*units!$E$36)+(F65*1.2*units!$B$32+G65*1.2*units!$D$32+H65*1.2*units!$E$32)+(units!$B$4*(F65*1.2*units!$B$24+G65*1.2*units!$D$24+H65*1.2*units!$E$24))</f>
        <v>8.98203526153846</v>
      </c>
      <c r="S65" s="187">
        <f>units!$F$9*(((F65*1.2/units!$B$20)*60)+((G65*1.2/units!$D$20)*60)+((H65*1.2/units!$E$20)*60))/60</f>
        <v>2.4319444444444445</v>
      </c>
      <c r="T65" s="187">
        <f>units!$H$9*(((F65*1.2/units!$B$20)*60)+((G65*1.2/units!$D$20)*60)+((H65*1.2/units!$E$20)*60))/60</f>
        <v>6.8686868686868685</v>
      </c>
      <c r="U65" s="187">
        <f t="shared" si="17"/>
        <v>4.570666643667443</v>
      </c>
      <c r="V65" s="187">
        <f t="shared" si="18"/>
        <v>3.4279999827505825</v>
      </c>
      <c r="W65" s="228">
        <f t="shared" si="19"/>
        <v>26.281333201087797</v>
      </c>
      <c r="X65" s="227"/>
      <c r="Y65" s="187">
        <f>(units!$B$4*(units!$B$25*F65*1.2+units!$D$25*G65*1.2+units!$E$25*H65*1.2)+(F65*1.2*units!$B$33+G65*1.2*units!$D$33+H65*1.2*units!$E$33)+(F65*1.2*units!$B$37+G65*1.2*units!$D$37+H65*1.2*units!$E$37))</f>
        <v>3.8750528265734268</v>
      </c>
      <c r="Z65" s="187">
        <f>units!$F$10*(((F65*1.2/units!$B$21)*60)+((G65*1.2/units!$D$21)*60)+((H65*1.2/units!$E$21)*60))/60</f>
        <v>0.46462703962703966</v>
      </c>
      <c r="AA65" s="187">
        <f>units!$H$10*(((F65*1.2/units!$B$21)*60)+((G65*1.2/units!$D$21)*60)+((H65*1.2/units!$E$21)*60))/60</f>
        <v>4.683195592286501</v>
      </c>
      <c r="AB65" s="187">
        <f t="shared" si="20"/>
        <v>2.255718864621742</v>
      </c>
      <c r="AC65" s="187">
        <f t="shared" si="21"/>
        <v>1.6917891484663063</v>
      </c>
      <c r="AD65" s="188">
        <f t="shared" si="22"/>
        <v>12.970383471575015</v>
      </c>
      <c r="AE65" s="229"/>
      <c r="AF65" s="188">
        <f>IF(E65=units!$N$8,P65,"")</f>
      </c>
      <c r="AG65" s="188">
        <f>IF(E65=units!$M$8,W65,"")</f>
      </c>
      <c r="AH65" s="188">
        <f>IF(E65=units!$L$8,AD65,"")</f>
        <v>12.970383471575015</v>
      </c>
      <c r="AI65" s="188">
        <f t="shared" si="23"/>
        <v>12.970383471575015</v>
      </c>
      <c r="AJ65" s="199">
        <v>4</v>
      </c>
      <c r="AK65" s="255">
        <f t="shared" si="24"/>
        <v>51.88153388630006</v>
      </c>
      <c r="AL65" s="256">
        <f t="shared" si="12"/>
        <v>9079.268430102511</v>
      </c>
      <c r="AM65" s="142"/>
      <c r="AN65" s="242"/>
      <c r="AO65" s="247"/>
    </row>
    <row r="66" spans="1:41" s="139" customFormat="1" ht="30">
      <c r="A66" s="294">
        <v>57</v>
      </c>
      <c r="B66" s="191" t="s">
        <v>265</v>
      </c>
      <c r="C66" s="182">
        <v>4</v>
      </c>
      <c r="D66" s="191" t="s">
        <v>160</v>
      </c>
      <c r="E66" s="192" t="str">
        <f>IF(ISNUMBER(C66),IF(C66&lt;=units!$L$7,units!$L$8,IF(C66&lt;=units!$N$7,units!$M$8,IF(C66&gt;units!$O$8,"OXI",units!$N$8))),"--")</f>
        <v>TAXI</v>
      </c>
      <c r="F66" s="183">
        <v>0</v>
      </c>
      <c r="G66" s="184">
        <v>0</v>
      </c>
      <c r="H66" s="185">
        <v>54</v>
      </c>
      <c r="I66" s="186">
        <f t="shared" si="13"/>
        <v>54</v>
      </c>
      <c r="J66" s="282"/>
      <c r="K66" s="277">
        <f>(units!$B$4*(F66*1.2*units!$B$23+G66*1.2*units!$D$23+H66*1.2*units!$E$23))+(F66*1.2*units!$B$31+G66*1.2*units!$D$31+H66*1.2*units!$E$31)+(F66*1.2*units!$B$35+G66*1.2*units!$D$35+H66*1.2*units!$E$35)</f>
        <v>82.71377200879121</v>
      </c>
      <c r="L66" s="187">
        <f>units!$F$8*((F66*1.2/units!$B$19)*60+((G66*1.2/units!$D$19)*60)+((H66*1.2/units!$E$19)*60))/60</f>
        <v>14.988461538461541</v>
      </c>
      <c r="M66" s="187">
        <f>units!$H$8*((F66*1.2/units!$B$19)*60+((G66*1.2/units!$D$19)*60)+((H66*1.2/units!$E$19)*60))/60</f>
        <v>28.051948051948052</v>
      </c>
      <c r="N66" s="187">
        <f t="shared" si="14"/>
        <v>31.438545399800198</v>
      </c>
      <c r="O66" s="187">
        <f t="shared" si="15"/>
        <v>23.57890904985015</v>
      </c>
      <c r="P66" s="188">
        <f t="shared" si="16"/>
        <v>180.77163604885115</v>
      </c>
      <c r="Q66" s="189"/>
      <c r="R66" s="187">
        <f>(F66*1.2*units!$B$36+G66*1.2*units!$D$36+H66*1.2*units!$E$36)+(F66*1.2*units!$B$32+G66*1.2*units!$D$32+H66*1.2*units!$E$32)+(units!$B$4*(F66*1.2*units!$B$24+G66*1.2*units!$D$24+H66*1.2*units!$E$24))</f>
        <v>36.50499312527472</v>
      </c>
      <c r="S66" s="187">
        <f>units!$F$9*(((F66*1.2/units!$B$20)*60)+((G66*1.2/units!$D$20)*60)+((H66*1.2/units!$E$20)*60))/60</f>
        <v>9.932142857142857</v>
      </c>
      <c r="T66" s="187">
        <f>units!$H$9*(((F66*1.2/units!$B$20)*60)+((G66*1.2/units!$D$20)*60)+((H66*1.2/units!$E$20)*60))/60</f>
        <v>28.051948051948052</v>
      </c>
      <c r="U66" s="187">
        <f t="shared" si="17"/>
        <v>18.622271008591408</v>
      </c>
      <c r="V66" s="187">
        <f t="shared" si="18"/>
        <v>13.966703256443557</v>
      </c>
      <c r="W66" s="188">
        <f t="shared" si="19"/>
        <v>107.0780582994006</v>
      </c>
      <c r="X66" s="189"/>
      <c r="Y66" s="187">
        <f>(units!$B$4*(units!$B$25*F66*1.2+units!$D$25*G66*1.2+units!$E$25*H66*1.2)+(F66*1.2*units!$B$33+G66*1.2*units!$D$33+H66*1.2*units!$E$33)+(F66*1.2*units!$B$37+G66*1.2*units!$D$37+H66*1.2*units!$E$37))</f>
        <v>14.393169138461536</v>
      </c>
      <c r="Z66" s="187">
        <f>units!$F$10*(((F66*1.2/units!$B$21)*60)+((G66*1.2/units!$D$21)*60)+((H66*1.2/units!$E$21)*60))/60</f>
        <v>1.803846153846154</v>
      </c>
      <c r="AA66" s="187">
        <f>units!$H$10*(((F66*1.2/units!$B$21)*60)+((G66*1.2/units!$D$21)*60)+((H66*1.2/units!$E$21)*60))/60</f>
        <v>18.18181818181818</v>
      </c>
      <c r="AB66" s="187">
        <f t="shared" si="20"/>
        <v>8.594708368531467</v>
      </c>
      <c r="AC66" s="187">
        <f t="shared" si="21"/>
        <v>6.4460312763986005</v>
      </c>
      <c r="AD66" s="188">
        <f t="shared" si="22"/>
        <v>49.41957311905594</v>
      </c>
      <c r="AE66" s="190"/>
      <c r="AF66" s="188">
        <f>IF(E66=units!$N$8,P66,"")</f>
      </c>
      <c r="AG66" s="188">
        <f>IF(E66=units!$M$8,W66,"")</f>
      </c>
      <c r="AH66" s="188">
        <f>IF(E66=units!$L$8,AD66,"")</f>
        <v>49.41957311905594</v>
      </c>
      <c r="AI66" s="188">
        <f t="shared" si="23"/>
        <v>49.41957311905594</v>
      </c>
      <c r="AJ66" s="199">
        <v>6</v>
      </c>
      <c r="AK66" s="255">
        <f t="shared" si="24"/>
        <v>296.51743871433564</v>
      </c>
      <c r="AL66" s="256">
        <f t="shared" si="12"/>
        <v>51890.55177500874</v>
      </c>
      <c r="AM66" s="142"/>
      <c r="AN66" s="242"/>
      <c r="AO66" s="247"/>
    </row>
    <row r="67" spans="1:41" s="139" customFormat="1" ht="15.75">
      <c r="A67" s="294">
        <v>58</v>
      </c>
      <c r="B67" s="191" t="s">
        <v>155</v>
      </c>
      <c r="C67" s="182">
        <v>1</v>
      </c>
      <c r="D67" s="226" t="s">
        <v>159</v>
      </c>
      <c r="E67" s="192" t="str">
        <f>IF(ISNUMBER(C67),IF(C67&lt;=units!$L$7,units!$L$8,IF(C67&lt;=units!$N$7,units!$M$8,IF(C67&gt;units!$O$8,"OXI",units!$N$8))),"--")</f>
        <v>TAXI</v>
      </c>
      <c r="F67" s="183">
        <v>3</v>
      </c>
      <c r="G67" s="184">
        <v>0</v>
      </c>
      <c r="H67" s="185">
        <v>18</v>
      </c>
      <c r="I67" s="186">
        <f t="shared" si="13"/>
        <v>21</v>
      </c>
      <c r="J67" s="282"/>
      <c r="K67" s="277">
        <f>(units!$B$4*(F67*1.2*units!$B$23+G67*1.2*units!$D$23+H67*1.2*units!$E$23))+(F67*1.2*units!$B$31+G67*1.2*units!$D$31+H67*1.2*units!$E$31)+(F67*1.2*units!$B$35+G67*1.2*units!$D$35+H67*1.2*units!$E$35)</f>
        <v>32.23378376703296</v>
      </c>
      <c r="L67" s="187">
        <f>units!$F$8*((F67*1.2/units!$B$19)*60+((G67*1.2/units!$D$19)*60)+((H67*1.2/units!$E$19)*60))/60</f>
        <v>6.939102564102565</v>
      </c>
      <c r="M67" s="187">
        <f>units!$H$8*((F67*1.2/units!$B$19)*60+((G67*1.2/units!$D$19)*60)+((H67*1.2/units!$E$19)*60))/60</f>
        <v>12.987012987012985</v>
      </c>
      <c r="N67" s="187">
        <f t="shared" si="14"/>
        <v>13.039974829537126</v>
      </c>
      <c r="O67" s="187">
        <f t="shared" si="15"/>
        <v>9.779981122152845</v>
      </c>
      <c r="P67" s="188">
        <f t="shared" si="16"/>
        <v>74.97985526983848</v>
      </c>
      <c r="Q67" s="227"/>
      <c r="R67" s="187">
        <f>(F67*1.2*units!$B$36+G67*1.2*units!$D$36+H67*1.2*units!$E$36)+(F67*1.2*units!$B$32+G67*1.2*units!$D$32+H67*1.2*units!$E$32)+(units!$B$4*(F67*1.2*units!$B$24+G67*1.2*units!$D$24+H67*1.2*units!$E$24))</f>
        <v>14.434319057142856</v>
      </c>
      <c r="S67" s="187">
        <f>units!$F$9*(((F67*1.2/units!$B$20)*60)+((G67*1.2/units!$D$20)*60)+((H67*1.2/units!$E$20)*60))/60</f>
        <v>4.383630952380952</v>
      </c>
      <c r="T67" s="187">
        <f>units!$H$9*(((F67*1.2/units!$B$20)*60)+((G67*1.2/units!$D$20)*60)+((H67*1.2/units!$E$20)*60))/60</f>
        <v>12.380952380952381</v>
      </c>
      <c r="U67" s="187">
        <f t="shared" si="17"/>
        <v>7.799725597619048</v>
      </c>
      <c r="V67" s="187">
        <f t="shared" si="18"/>
        <v>5.849794198214285</v>
      </c>
      <c r="W67" s="228">
        <f t="shared" si="19"/>
        <v>44.84842218630952</v>
      </c>
      <c r="X67" s="227"/>
      <c r="Y67" s="187">
        <f>(units!$B$4*(units!$B$25*F67*1.2+units!$D$25*G67*1.2+units!$E$25*H67*1.2)+(F67*1.2*units!$B$33+G67*1.2*units!$D$33+H67*1.2*units!$E$33)+(F67*1.2*units!$B$37+G67*1.2*units!$D$37+H67*1.2*units!$E$37))</f>
        <v>5.5767008076923075</v>
      </c>
      <c r="Z67" s="187">
        <f>units!$F$10*(((F67*1.2/units!$B$21)*60)+((G67*1.2/units!$D$21)*60)+((H67*1.2/units!$E$21)*60))/60</f>
        <v>0.7516025641025642</v>
      </c>
      <c r="AA67" s="187">
        <f>units!$H$10*(((F67*1.2/units!$B$21)*60)+((G67*1.2/units!$D$21)*60)+((H67*1.2/units!$E$21)*60))/60</f>
        <v>7.575757575757576</v>
      </c>
      <c r="AB67" s="187">
        <f t="shared" si="20"/>
        <v>3.476015236888112</v>
      </c>
      <c r="AC67" s="187">
        <f t="shared" si="21"/>
        <v>2.6070114276660843</v>
      </c>
      <c r="AD67" s="188">
        <f t="shared" si="22"/>
        <v>19.987087612106645</v>
      </c>
      <c r="AE67" s="229"/>
      <c r="AF67" s="188">
        <f>IF(E67=units!$N$8,P67,"")</f>
      </c>
      <c r="AG67" s="188">
        <f>IF(E67=units!$M$8,W67,"")</f>
      </c>
      <c r="AH67" s="188">
        <f>IF(E67=units!$L$8,AD67,"")</f>
        <v>19.987087612106645</v>
      </c>
      <c r="AI67" s="188">
        <f t="shared" si="23"/>
        <v>19.987087612106645</v>
      </c>
      <c r="AJ67" s="199">
        <v>2</v>
      </c>
      <c r="AK67" s="255">
        <f t="shared" si="24"/>
        <v>39.97417522421329</v>
      </c>
      <c r="AL67" s="256">
        <f t="shared" si="12"/>
        <v>6995.480664237326</v>
      </c>
      <c r="AM67" s="142"/>
      <c r="AN67" s="242"/>
      <c r="AO67" s="247"/>
    </row>
    <row r="68" spans="1:41" s="139" customFormat="1" ht="15.75">
      <c r="A68" s="294">
        <v>59</v>
      </c>
      <c r="B68" s="191" t="s">
        <v>155</v>
      </c>
      <c r="C68" s="182">
        <v>3</v>
      </c>
      <c r="D68" s="191" t="s">
        <v>137</v>
      </c>
      <c r="E68" s="192" t="str">
        <f>IF(ISNUMBER(C68),IF(C68&lt;=units!$L$7,units!$L$8,IF(C68&lt;=units!$N$7,units!$M$8,IF(C68&gt;units!$O$8,"OXI",units!$N$8))),"--")</f>
        <v>TAXI</v>
      </c>
      <c r="F68" s="183">
        <v>0</v>
      </c>
      <c r="G68" s="184">
        <v>0</v>
      </c>
      <c r="H68" s="185">
        <v>31</v>
      </c>
      <c r="I68" s="186">
        <f t="shared" si="13"/>
        <v>31</v>
      </c>
      <c r="J68" s="282"/>
      <c r="K68" s="277">
        <f>(units!$B$4*(F68*1.2*units!$B$23+G68*1.2*units!$D$23+H68*1.2*units!$E$23))+(F68*1.2*units!$B$31+G68*1.2*units!$D$31+H68*1.2*units!$E$31)+(F68*1.2*units!$B$35+G68*1.2*units!$D$35+H68*1.2*units!$E$35)</f>
        <v>47.48383207912087</v>
      </c>
      <c r="L68" s="187">
        <f>units!$F$8*((F68*1.2/units!$B$19)*60+((G68*1.2/units!$D$19)*60)+((H68*1.2/units!$E$19)*60))/60</f>
        <v>8.604487179487181</v>
      </c>
      <c r="M68" s="187">
        <f>units!$H$8*((F68*1.2/units!$B$19)*60+((G68*1.2/units!$D$19)*60)+((H68*1.2/units!$E$19)*60))/60</f>
        <v>16.103896103896105</v>
      </c>
      <c r="N68" s="187">
        <f t="shared" si="14"/>
        <v>18.04805384062604</v>
      </c>
      <c r="O68" s="187">
        <f t="shared" si="15"/>
        <v>13.53604038046953</v>
      </c>
      <c r="P68" s="188">
        <f t="shared" si="16"/>
        <v>103.77630958359973</v>
      </c>
      <c r="Q68" s="189"/>
      <c r="R68" s="187">
        <f>(F68*1.2*units!$B$36+G68*1.2*units!$D$36+H68*1.2*units!$E$36)+(F68*1.2*units!$B$32+G68*1.2*units!$D$32+H68*1.2*units!$E$32)+(units!$B$4*(F68*1.2*units!$B$24+G68*1.2*units!$D$24+H68*1.2*units!$E$24))</f>
        <v>20.956570127472524</v>
      </c>
      <c r="S68" s="187">
        <f>units!$F$9*(((F68*1.2/units!$B$20)*60)+((G68*1.2/units!$D$20)*60)+((H68*1.2/units!$E$20)*60))/60</f>
        <v>5.701785714285714</v>
      </c>
      <c r="T68" s="187">
        <f>units!$H$9*(((F68*1.2/units!$B$20)*60)+((G68*1.2/units!$D$20)*60)+((H68*1.2/units!$E$20)*60))/60</f>
        <v>16.103896103896105</v>
      </c>
      <c r="U68" s="187">
        <f t="shared" si="17"/>
        <v>10.690562986413585</v>
      </c>
      <c r="V68" s="187">
        <f t="shared" si="18"/>
        <v>8.017922239810188</v>
      </c>
      <c r="W68" s="188">
        <f t="shared" si="19"/>
        <v>61.47073717187811</v>
      </c>
      <c r="X68" s="189"/>
      <c r="Y68" s="187">
        <f>(units!$B$4*(units!$B$25*F68*1.2+units!$D$25*G68*1.2+units!$E$25*H68*1.2)+(F68*1.2*units!$B$33+G68*1.2*units!$D$33+H68*1.2*units!$E$33)+(F68*1.2*units!$B$37+G68*1.2*units!$D$37+H68*1.2*units!$E$37))</f>
        <v>8.262745246153845</v>
      </c>
      <c r="Z68" s="187">
        <f>units!$F$10*(((F68*1.2/units!$B$21)*60)+((G68*1.2/units!$D$21)*60)+((H68*1.2/units!$E$21)*60))/60</f>
        <v>1.0355413105413107</v>
      </c>
      <c r="AA68" s="187">
        <f>units!$H$10*(((F68*1.2/units!$B$21)*60)+((G68*1.2/units!$D$21)*60)+((H68*1.2/units!$E$21)*60))/60</f>
        <v>10.437710437710438</v>
      </c>
      <c r="AB68" s="187">
        <f t="shared" si="20"/>
        <v>4.933999248601398</v>
      </c>
      <c r="AC68" s="187">
        <f t="shared" si="21"/>
        <v>3.7004994364510484</v>
      </c>
      <c r="AD68" s="188">
        <f t="shared" si="22"/>
        <v>28.37049567945804</v>
      </c>
      <c r="AE68" s="190"/>
      <c r="AF68" s="188">
        <f>IF(E68=units!$N$8,P68,"")</f>
      </c>
      <c r="AG68" s="188">
        <f>IF(E68=units!$M$8,W68,"")</f>
      </c>
      <c r="AH68" s="188">
        <f>IF(E68=units!$L$8,AD68,"")</f>
        <v>28.37049567945804</v>
      </c>
      <c r="AI68" s="188">
        <f t="shared" si="23"/>
        <v>28.37049567945804</v>
      </c>
      <c r="AJ68" s="199">
        <v>2</v>
      </c>
      <c r="AK68" s="255">
        <f t="shared" si="24"/>
        <v>56.74099135891608</v>
      </c>
      <c r="AL68" s="256">
        <f t="shared" si="12"/>
        <v>9929.673487810313</v>
      </c>
      <c r="AM68" s="142"/>
      <c r="AN68" s="242"/>
      <c r="AO68" s="247"/>
    </row>
    <row r="69" spans="1:41" s="139" customFormat="1" ht="15.75">
      <c r="A69" s="294">
        <v>60</v>
      </c>
      <c r="B69" s="191" t="s">
        <v>161</v>
      </c>
      <c r="C69" s="182">
        <v>1</v>
      </c>
      <c r="D69" s="226" t="s">
        <v>162</v>
      </c>
      <c r="E69" s="192" t="str">
        <f>IF(ISNUMBER(C69),IF(C69&lt;=units!$L$7,units!$L$8,IF(C69&lt;=units!$N$7,units!$M$8,IF(C69&gt;units!$O$8,"OXI",units!$N$8))),"--")</f>
        <v>TAXI</v>
      </c>
      <c r="F69" s="183">
        <v>0</v>
      </c>
      <c r="G69" s="184">
        <v>0</v>
      </c>
      <c r="H69" s="185">
        <v>40</v>
      </c>
      <c r="I69" s="186">
        <v>40</v>
      </c>
      <c r="J69" s="282"/>
      <c r="K69" s="277">
        <f>(units!$B$4*(F69*1.2*units!$B$23+G69*1.2*units!$D$23+H69*1.2*units!$E$23))+(F69*1.2*units!$B$31+G69*1.2*units!$D$31+H69*1.2*units!$E$31)+(F69*1.2*units!$B$35+G69*1.2*units!$D$35+H69*1.2*units!$E$35)</f>
        <v>61.26946074725275</v>
      </c>
      <c r="L69" s="187">
        <f>units!$F$8*((F69*1.2/units!$B$19)*60+((G69*1.2/units!$D$19)*60)+((H69*1.2/units!$E$19)*60))/60</f>
        <v>11.102564102564106</v>
      </c>
      <c r="M69" s="187">
        <f>units!$H$8*((F69*1.2/units!$B$19)*60+((G69*1.2/units!$D$19)*60)+((H69*1.2/units!$E$19)*60))/60</f>
        <v>20.779220779220783</v>
      </c>
      <c r="N69" s="187">
        <f t="shared" si="14"/>
        <v>23.287811407259408</v>
      </c>
      <c r="O69" s="187">
        <f t="shared" si="15"/>
        <v>17.465858555444555</v>
      </c>
      <c r="P69" s="188">
        <f t="shared" si="16"/>
        <v>133.9049155917416</v>
      </c>
      <c r="Q69" s="227"/>
      <c r="R69" s="187">
        <f>(F69*1.2*units!$B$36+G69*1.2*units!$D$36+H69*1.2*units!$E$36)+(F69*1.2*units!$B$32+G69*1.2*units!$D$32+H69*1.2*units!$E$32)+(units!$B$4*(F69*1.2*units!$B$24+G69*1.2*units!$D$24+H69*1.2*units!$E$24))</f>
        <v>27.04073564835165</v>
      </c>
      <c r="S69" s="187">
        <f>units!$F$9*(((F69*1.2/units!$B$20)*60)+((G69*1.2/units!$D$20)*60)+((H69*1.2/units!$E$20)*60))/60</f>
        <v>7.357142857142858</v>
      </c>
      <c r="T69" s="187">
        <f>units!$H$9*(((F69*1.2/units!$B$20)*60)+((G69*1.2/units!$D$20)*60)+((H69*1.2/units!$E$20)*60))/60</f>
        <v>20.779220779220783</v>
      </c>
      <c r="U69" s="187">
        <f t="shared" si="17"/>
        <v>13.79427482117882</v>
      </c>
      <c r="V69" s="187">
        <f t="shared" si="18"/>
        <v>10.345706115884115</v>
      </c>
      <c r="W69" s="228">
        <f t="shared" si="19"/>
        <v>79.31708022177821</v>
      </c>
      <c r="X69" s="227"/>
      <c r="Y69" s="187">
        <f>(units!$B$4*(units!$B$25*F69*1.2+units!$D$25*G69*1.2+units!$E$25*H69*1.2)+(F69*1.2*units!$B$33+G69*1.2*units!$D$33+H69*1.2*units!$E$33)+(F69*1.2*units!$B$37+G69*1.2*units!$D$37+H69*1.2*units!$E$37))</f>
        <v>10.661606769230769</v>
      </c>
      <c r="Z69" s="187">
        <f>units!$F$10*(((F69*1.2/units!$B$21)*60)+((G69*1.2/units!$D$21)*60)+((H69*1.2/units!$E$21)*60))/60</f>
        <v>1.3361823361823364</v>
      </c>
      <c r="AA69" s="187">
        <f>units!$H$10*(((F69*1.2/units!$B$21)*60)+((G69*1.2/units!$D$21)*60)+((H69*1.2/units!$E$21)*60))/60</f>
        <v>13.468013468013469</v>
      </c>
      <c r="AB69" s="187">
        <f t="shared" si="20"/>
        <v>6.366450643356643</v>
      </c>
      <c r="AC69" s="187">
        <f t="shared" si="21"/>
        <v>4.774837982517482</v>
      </c>
      <c r="AD69" s="188">
        <f t="shared" si="22"/>
        <v>36.6070911993007</v>
      </c>
      <c r="AE69" s="229"/>
      <c r="AF69" s="188">
        <f>IF(E69=units!$N$8,P69,"")</f>
      </c>
      <c r="AG69" s="188">
        <f>IF(E69=units!$M$8,W69,"")</f>
      </c>
      <c r="AH69" s="188">
        <f>IF(E69=units!$L$8,AD69,"")</f>
        <v>36.6070911993007</v>
      </c>
      <c r="AI69" s="188">
        <f t="shared" si="23"/>
        <v>36.6070911993007</v>
      </c>
      <c r="AJ69" s="199">
        <v>2</v>
      </c>
      <c r="AK69" s="255">
        <f t="shared" si="24"/>
        <v>73.2141823986014</v>
      </c>
      <c r="AL69" s="256">
        <f t="shared" si="12"/>
        <v>12812.481919755244</v>
      </c>
      <c r="AM69" s="142"/>
      <c r="AN69" s="242"/>
      <c r="AO69" s="247"/>
    </row>
    <row r="70" spans="1:41" s="139" customFormat="1" ht="15.75">
      <c r="A70" s="294">
        <v>61</v>
      </c>
      <c r="B70" s="191" t="s">
        <v>161</v>
      </c>
      <c r="C70" s="182">
        <v>1</v>
      </c>
      <c r="D70" s="191" t="s">
        <v>163</v>
      </c>
      <c r="E70" s="192" t="str">
        <f>IF(ISNUMBER(C70),IF(C70&lt;=units!$L$7,units!$L$8,IF(C70&lt;=units!$N$7,units!$M$8,IF(C70&gt;units!$O$8,"OXI",units!$N$8))),"--")</f>
        <v>TAXI</v>
      </c>
      <c r="F70" s="183">
        <v>0</v>
      </c>
      <c r="G70" s="184">
        <v>0</v>
      </c>
      <c r="H70" s="185">
        <v>26</v>
      </c>
      <c r="I70" s="186">
        <f aca="true" t="shared" si="25" ref="I70:I101">IF(SUM(F70:H70)=0,"--",SUM(F70:H70))</f>
        <v>26</v>
      </c>
      <c r="J70" s="282"/>
      <c r="K70" s="277">
        <f>(units!$B$4*(F70*1.2*units!$B$23+G70*1.2*units!$D$23+H70*1.2*units!$E$23))+(F70*1.2*units!$B$31+G70*1.2*units!$D$31+H70*1.2*units!$E$31)+(F70*1.2*units!$B$35+G70*1.2*units!$D$35+H70*1.2*units!$E$35)</f>
        <v>39.825149485714284</v>
      </c>
      <c r="L70" s="187">
        <f>units!$F$8*((F70*1.2/units!$B$19)*60+((G70*1.2/units!$D$19)*60)+((H70*1.2/units!$E$19)*60))/60</f>
        <v>7.216666666666668</v>
      </c>
      <c r="M70" s="187">
        <f>units!$H$8*((F70*1.2/units!$B$19)*60+((G70*1.2/units!$D$19)*60)+((H70*1.2/units!$E$19)*60))/60</f>
        <v>13.506493506493507</v>
      </c>
      <c r="N70" s="187">
        <f aca="true" t="shared" si="26" ref="N70:N101">0.25*(K70+L70+M70)</f>
        <v>15.137077414718615</v>
      </c>
      <c r="O70" s="187">
        <f aca="true" t="shared" si="27" ref="O70:O101">0.15*(K70+L70+M70+N70)</f>
        <v>11.352808061038962</v>
      </c>
      <c r="P70" s="188">
        <f aca="true" t="shared" si="28" ref="P70:P101">SUM(K70:O70)</f>
        <v>87.03819513463203</v>
      </c>
      <c r="Q70" s="189"/>
      <c r="R70" s="187">
        <f>(F70*1.2*units!$B$36+G70*1.2*units!$D$36+H70*1.2*units!$E$36)+(F70*1.2*units!$B$32+G70*1.2*units!$D$32+H70*1.2*units!$E$32)+(units!$B$4*(F70*1.2*units!$B$24+G70*1.2*units!$D$24+H70*1.2*units!$E$24))</f>
        <v>17.57647817142857</v>
      </c>
      <c r="S70" s="187">
        <f>units!$F$9*(((F70*1.2/units!$B$20)*60)+((G70*1.2/units!$D$20)*60)+((H70*1.2/units!$E$20)*60))/60</f>
        <v>4.7821428571428575</v>
      </c>
      <c r="T70" s="187">
        <f>units!$H$9*(((F70*1.2/units!$B$20)*60)+((G70*1.2/units!$D$20)*60)+((H70*1.2/units!$E$20)*60))/60</f>
        <v>13.506493506493507</v>
      </c>
      <c r="U70" s="187">
        <f aca="true" t="shared" si="29" ref="U70:U101">0.25*(R70+S70+T70)</f>
        <v>8.966278633766233</v>
      </c>
      <c r="V70" s="187">
        <f aca="true" t="shared" si="30" ref="V70:V101">0.15*(R70+S70+T70+U70)</f>
        <v>6.724708975324675</v>
      </c>
      <c r="W70" s="188">
        <f aca="true" t="shared" si="31" ref="W70:W101">SUM(R70:V70)</f>
        <v>51.556102144155844</v>
      </c>
      <c r="X70" s="189"/>
      <c r="Y70" s="187">
        <f>(units!$B$4*(units!$B$25*F70*1.2+units!$D$25*G70*1.2+units!$E$25*H70*1.2)+(F70*1.2*units!$B$33+G70*1.2*units!$D$33+H70*1.2*units!$E$33)+(F70*1.2*units!$B$37+G70*1.2*units!$D$37+H70*1.2*units!$E$37))</f>
        <v>6.930044399999999</v>
      </c>
      <c r="Z70" s="187">
        <f>units!$F$10*(((F70*1.2/units!$B$21)*60)+((G70*1.2/units!$D$21)*60)+((H70*1.2/units!$E$21)*60))/60</f>
        <v>0.8685185185185187</v>
      </c>
      <c r="AA70" s="187">
        <f>units!$H$10*(((F70*1.2/units!$B$21)*60)+((G70*1.2/units!$D$21)*60)+((H70*1.2/units!$E$21)*60))/60</f>
        <v>8.754208754208754</v>
      </c>
      <c r="AB70" s="187">
        <f aca="true" t="shared" si="32" ref="AB70:AB101">0.25*(Y70+Z70+AA70)</f>
        <v>4.138192918181818</v>
      </c>
      <c r="AC70" s="187">
        <f aca="true" t="shared" si="33" ref="AC70:AC101">0.15*(Y70+Z70+AA70+AB70)</f>
        <v>3.1036446886363636</v>
      </c>
      <c r="AD70" s="188">
        <f aca="true" t="shared" si="34" ref="AD70:AD101">SUM(Y70:AC70)</f>
        <v>23.794609279545455</v>
      </c>
      <c r="AE70" s="190"/>
      <c r="AF70" s="188">
        <f>IF(E70=units!$N$8,P70,"")</f>
      </c>
      <c r="AG70" s="188">
        <f>IF(E70=units!$M$8,W70,"")</f>
      </c>
      <c r="AH70" s="188">
        <f>IF(E70=units!$L$8,AD70,"")</f>
        <v>23.794609279545455</v>
      </c>
      <c r="AI70" s="188">
        <f aca="true" t="shared" si="35" ref="AI70:AI101">IF(SUM(AF70:AH70)&gt;0,SUM(AF70:AH70),"")</f>
        <v>23.794609279545455</v>
      </c>
      <c r="AJ70" s="199">
        <v>2</v>
      </c>
      <c r="AK70" s="255">
        <f aca="true" t="shared" si="36" ref="AK70:AK101">AI70*AJ70</f>
        <v>47.58921855909091</v>
      </c>
      <c r="AL70" s="256">
        <f t="shared" si="12"/>
        <v>8328.113247840909</v>
      </c>
      <c r="AM70" s="142"/>
      <c r="AN70" s="242"/>
      <c r="AO70" s="247"/>
    </row>
    <row r="71" spans="1:41" s="139" customFormat="1" ht="15.75">
      <c r="A71" s="294">
        <v>62</v>
      </c>
      <c r="B71" s="191" t="s">
        <v>167</v>
      </c>
      <c r="C71" s="182">
        <v>3</v>
      </c>
      <c r="D71" s="226" t="s">
        <v>166</v>
      </c>
      <c r="E71" s="192" t="str">
        <f>IF(ISNUMBER(C71),IF(C71&lt;=units!$L$7,units!$L$8,IF(C71&lt;=units!$N$7,units!$M$8,IF(C71&gt;units!$O$8,"OXI",units!$N$8))),"--")</f>
        <v>TAXI</v>
      </c>
      <c r="F71" s="183">
        <v>0</v>
      </c>
      <c r="G71" s="184">
        <v>0</v>
      </c>
      <c r="H71" s="185">
        <v>24</v>
      </c>
      <c r="I71" s="186">
        <f t="shared" si="25"/>
        <v>24</v>
      </c>
      <c r="J71" s="282"/>
      <c r="K71" s="277">
        <f>(units!$B$4*(F71*1.2*units!$B$23+G71*1.2*units!$D$23+H71*1.2*units!$E$23))+(F71*1.2*units!$B$31+G71*1.2*units!$D$31+H71*1.2*units!$E$31)+(F71*1.2*units!$B$35+G71*1.2*units!$D$35+H71*1.2*units!$E$35)</f>
        <v>36.76167644835165</v>
      </c>
      <c r="L71" s="187">
        <f>units!$F$8*((F71*1.2/units!$B$19)*60+((G71*1.2/units!$D$19)*60)+((H71*1.2/units!$E$19)*60))/60</f>
        <v>6.661538461538462</v>
      </c>
      <c r="M71" s="187">
        <f>units!$H$8*((F71*1.2/units!$B$19)*60+((G71*1.2/units!$D$19)*60)+((H71*1.2/units!$E$19)*60))/60</f>
        <v>12.467532467532466</v>
      </c>
      <c r="N71" s="187">
        <f t="shared" si="26"/>
        <v>13.972686844355644</v>
      </c>
      <c r="O71" s="187">
        <f t="shared" si="27"/>
        <v>10.479515133266732</v>
      </c>
      <c r="P71" s="188">
        <f t="shared" si="28"/>
        <v>80.34294935504495</v>
      </c>
      <c r="Q71" s="227"/>
      <c r="R71" s="187">
        <f>(F71*1.2*units!$B$36+G71*1.2*units!$D$36+H71*1.2*units!$E$36)+(F71*1.2*units!$B$32+G71*1.2*units!$D$32+H71*1.2*units!$E$32)+(units!$B$4*(F71*1.2*units!$B$24+G71*1.2*units!$D$24+H71*1.2*units!$E$24))</f>
        <v>16.224441389010988</v>
      </c>
      <c r="S71" s="187">
        <f>units!$F$9*(((F71*1.2/units!$B$20)*60)+((G71*1.2/units!$D$20)*60)+((H71*1.2/units!$E$20)*60))/60</f>
        <v>4.414285714285714</v>
      </c>
      <c r="T71" s="187">
        <f>units!$H$9*(((F71*1.2/units!$B$20)*60)+((G71*1.2/units!$D$20)*60)+((H71*1.2/units!$E$20)*60))/60</f>
        <v>12.467532467532466</v>
      </c>
      <c r="U71" s="187">
        <f t="shared" si="29"/>
        <v>8.276564892707292</v>
      </c>
      <c r="V71" s="187">
        <f t="shared" si="30"/>
        <v>6.207423669530469</v>
      </c>
      <c r="W71" s="228">
        <f t="shared" si="31"/>
        <v>47.59024813306693</v>
      </c>
      <c r="X71" s="227"/>
      <c r="Y71" s="187">
        <f>(units!$B$4*(units!$B$25*F71*1.2+units!$D$25*G71*1.2+units!$E$25*H71*1.2)+(F71*1.2*units!$B$33+G71*1.2*units!$D$33+H71*1.2*units!$E$33)+(F71*1.2*units!$B$37+G71*1.2*units!$D$37+H71*1.2*units!$E$37))</f>
        <v>6.396964061538461</v>
      </c>
      <c r="Z71" s="187">
        <f>units!$F$10*(((F71*1.2/units!$B$21)*60)+((G71*1.2/units!$D$21)*60)+((H71*1.2/units!$E$21)*60))/60</f>
        <v>0.8017094017094017</v>
      </c>
      <c r="AA71" s="187">
        <f>units!$H$10*(((F71*1.2/units!$B$21)*60)+((G71*1.2/units!$D$21)*60)+((H71*1.2/units!$E$21)*60))/60</f>
        <v>8.08080808080808</v>
      </c>
      <c r="AB71" s="187">
        <f t="shared" si="32"/>
        <v>3.8198703860139855</v>
      </c>
      <c r="AC71" s="187">
        <f t="shared" si="33"/>
        <v>2.8649027895104893</v>
      </c>
      <c r="AD71" s="188">
        <f t="shared" si="34"/>
        <v>21.964254719580417</v>
      </c>
      <c r="AE71" s="229"/>
      <c r="AF71" s="188">
        <f>IF(E71=units!$N$8,P71,"")</f>
      </c>
      <c r="AG71" s="188">
        <f>IF(E71=units!$M$8,W71,"")</f>
      </c>
      <c r="AH71" s="188">
        <f>IF(E71=units!$L$8,AD71,"")</f>
        <v>21.964254719580417</v>
      </c>
      <c r="AI71" s="188">
        <f t="shared" si="35"/>
        <v>21.964254719580417</v>
      </c>
      <c r="AJ71" s="199">
        <v>2</v>
      </c>
      <c r="AK71" s="255">
        <f t="shared" si="36"/>
        <v>43.928509439160834</v>
      </c>
      <c r="AL71" s="256">
        <f t="shared" si="12"/>
        <v>7687.489151853146</v>
      </c>
      <c r="AM71" s="142"/>
      <c r="AN71" s="242"/>
      <c r="AO71" s="247"/>
    </row>
    <row r="72" spans="1:41" s="139" customFormat="1" ht="15.75">
      <c r="A72" s="294">
        <v>63</v>
      </c>
      <c r="B72" s="191" t="s">
        <v>167</v>
      </c>
      <c r="C72" s="182">
        <v>3</v>
      </c>
      <c r="D72" s="191" t="s">
        <v>168</v>
      </c>
      <c r="E72" s="192" t="str">
        <f>IF(ISNUMBER(C72),IF(C72&lt;=units!$L$7,units!$L$8,IF(C72&lt;=units!$N$7,units!$M$8,IF(C72&gt;units!$O$8,"OXI",units!$N$8))),"--")</f>
        <v>TAXI</v>
      </c>
      <c r="F72" s="183">
        <v>0</v>
      </c>
      <c r="G72" s="184">
        <v>20</v>
      </c>
      <c r="H72" s="185">
        <v>0</v>
      </c>
      <c r="I72" s="186">
        <f t="shared" si="25"/>
        <v>20</v>
      </c>
      <c r="J72" s="282"/>
      <c r="K72" s="277">
        <f>(units!$B$4*(F72*1.2*units!$B$23+G72*1.2*units!$D$23+H72*1.2*units!$E$23))+(F72*1.2*units!$B$31+G72*1.2*units!$D$31+H72*1.2*units!$E$31)+(F72*1.2*units!$B$35+G72*1.2*units!$D$35+H72*1.2*units!$E$35)</f>
        <v>19.422361846153848</v>
      </c>
      <c r="L72" s="187">
        <f>units!$F$8*((F72*1.2/units!$B$19)*60+((G72*1.2/units!$D$19)*60)+((H72*1.2/units!$E$19)*60))/60</f>
        <v>4.317663817663818</v>
      </c>
      <c r="M72" s="187">
        <f>units!$H$8*((F72*1.2/units!$B$19)*60+((G72*1.2/units!$D$19)*60)+((H72*1.2/units!$E$19)*60))/60</f>
        <v>8.080808080808081</v>
      </c>
      <c r="N72" s="187">
        <f t="shared" si="26"/>
        <v>7.955208436156436</v>
      </c>
      <c r="O72" s="187">
        <f t="shared" si="27"/>
        <v>5.966406327117327</v>
      </c>
      <c r="P72" s="188">
        <f t="shared" si="28"/>
        <v>45.74244850789951</v>
      </c>
      <c r="Q72" s="189"/>
      <c r="R72" s="187">
        <f>(F72*1.2*units!$B$36+G72*1.2*units!$D$36+H72*1.2*units!$E$36)+(F72*1.2*units!$B$32+G72*1.2*units!$D$32+H72*1.2*units!$E$32)+(units!$B$4*(F72*1.2*units!$B$24+G72*1.2*units!$D$24+H72*1.2*units!$E$24))</f>
        <v>10.567100307692307</v>
      </c>
      <c r="S72" s="187">
        <f>units!$F$9*(((F72*1.2/units!$B$20)*60)+((G72*1.2/units!$D$20)*60)+((H72*1.2/units!$E$20)*60))/60</f>
        <v>2.861111111111111</v>
      </c>
      <c r="T72" s="187">
        <f>units!$H$9*(((F72*1.2/units!$B$20)*60)+((G72*1.2/units!$D$20)*60)+((H72*1.2/units!$E$20)*60))/60</f>
        <v>8.080808080808081</v>
      </c>
      <c r="U72" s="187">
        <f t="shared" si="29"/>
        <v>5.377254874902874</v>
      </c>
      <c r="V72" s="187">
        <f t="shared" si="30"/>
        <v>4.032941156177156</v>
      </c>
      <c r="W72" s="188">
        <f t="shared" si="31"/>
        <v>30.919215530691528</v>
      </c>
      <c r="X72" s="189"/>
      <c r="Y72" s="187">
        <f>(units!$B$4*(units!$B$25*F72*1.2+units!$D$25*G72*1.2+units!$E$25*H72*1.2)+(F72*1.2*units!$B$33+G72*1.2*units!$D$33+H72*1.2*units!$E$33)+(F72*1.2*units!$B$37+G72*1.2*units!$D$37+H72*1.2*units!$E$37))</f>
        <v>4.558885678321678</v>
      </c>
      <c r="Z72" s="187">
        <f>units!$F$10*(((F72*1.2/units!$B$21)*60)+((G72*1.2/units!$D$21)*60)+((H72*1.2/units!$E$21)*60))/60</f>
        <v>0.5466200466200467</v>
      </c>
      <c r="AA72" s="187">
        <f>units!$H$10*(((F72*1.2/units!$B$21)*60)+((G72*1.2/units!$D$21)*60)+((H72*1.2/units!$E$21)*60))/60</f>
        <v>5.509641873278237</v>
      </c>
      <c r="AB72" s="187">
        <f t="shared" si="32"/>
        <v>2.6537868995549903</v>
      </c>
      <c r="AC72" s="187">
        <f t="shared" si="33"/>
        <v>1.9903401746662426</v>
      </c>
      <c r="AD72" s="188">
        <f t="shared" si="34"/>
        <v>15.259274672441194</v>
      </c>
      <c r="AE72" s="190"/>
      <c r="AF72" s="188">
        <f>IF(E72=units!$N$8,P72,"")</f>
      </c>
      <c r="AG72" s="188">
        <f>IF(E72=units!$M$8,W72,"")</f>
      </c>
      <c r="AH72" s="188">
        <f>IF(E72=units!$L$8,AD72,"")</f>
        <v>15.259274672441194</v>
      </c>
      <c r="AI72" s="188">
        <f t="shared" si="35"/>
        <v>15.259274672441194</v>
      </c>
      <c r="AJ72" s="199">
        <v>2</v>
      </c>
      <c r="AK72" s="255">
        <f t="shared" si="36"/>
        <v>30.518549344882388</v>
      </c>
      <c r="AL72" s="256">
        <f t="shared" si="12"/>
        <v>5340.746135354418</v>
      </c>
      <c r="AM72" s="142"/>
      <c r="AN72" s="242"/>
      <c r="AO72" s="247"/>
    </row>
    <row r="73" spans="1:41" s="139" customFormat="1" ht="15.75">
      <c r="A73" s="294">
        <v>64</v>
      </c>
      <c r="B73" s="191" t="s">
        <v>167</v>
      </c>
      <c r="C73" s="182">
        <v>1</v>
      </c>
      <c r="D73" s="226" t="s">
        <v>169</v>
      </c>
      <c r="E73" s="192" t="str">
        <f>IF(ISNUMBER(C73),IF(C73&lt;=units!$L$7,units!$L$8,IF(C73&lt;=units!$N$7,units!$M$8,IF(C73&gt;units!$O$8,"OXI",units!$N$8))),"--")</f>
        <v>TAXI</v>
      </c>
      <c r="F73" s="183">
        <v>3</v>
      </c>
      <c r="G73" s="184">
        <v>0</v>
      </c>
      <c r="H73" s="185">
        <v>18</v>
      </c>
      <c r="I73" s="186">
        <f t="shared" si="25"/>
        <v>21</v>
      </c>
      <c r="J73" s="282"/>
      <c r="K73" s="277">
        <f>(units!$B$4*(F73*1.2*units!$B$23+G73*1.2*units!$D$23+H73*1.2*units!$E$23))+(F73*1.2*units!$B$31+G73*1.2*units!$D$31+H73*1.2*units!$E$31)+(F73*1.2*units!$B$35+G73*1.2*units!$D$35+H73*1.2*units!$E$35)</f>
        <v>32.23378376703296</v>
      </c>
      <c r="L73" s="187">
        <f>units!$F$8*((F73*1.2/units!$B$19)*60+((G73*1.2/units!$D$19)*60)+((H73*1.2/units!$E$19)*60))/60</f>
        <v>6.939102564102565</v>
      </c>
      <c r="M73" s="187">
        <f>units!$H$8*((F73*1.2/units!$B$19)*60+((G73*1.2/units!$D$19)*60)+((H73*1.2/units!$E$19)*60))/60</f>
        <v>12.987012987012985</v>
      </c>
      <c r="N73" s="187">
        <f t="shared" si="26"/>
        <v>13.039974829537126</v>
      </c>
      <c r="O73" s="187">
        <f t="shared" si="27"/>
        <v>9.779981122152845</v>
      </c>
      <c r="P73" s="188">
        <f t="shared" si="28"/>
        <v>74.97985526983848</v>
      </c>
      <c r="Q73" s="227"/>
      <c r="R73" s="187">
        <f>(F73*1.2*units!$B$36+G73*1.2*units!$D$36+H73*1.2*units!$E$36)+(F73*1.2*units!$B$32+G73*1.2*units!$D$32+H73*1.2*units!$E$32)+(units!$B$4*(F73*1.2*units!$B$24+G73*1.2*units!$D$24+H73*1.2*units!$E$24))</f>
        <v>14.434319057142856</v>
      </c>
      <c r="S73" s="187">
        <f>units!$F$9*(((F73*1.2/units!$B$20)*60)+((G73*1.2/units!$D$20)*60)+((H73*1.2/units!$E$20)*60))/60</f>
        <v>4.383630952380952</v>
      </c>
      <c r="T73" s="187">
        <f>units!$H$9*(((F73*1.2/units!$B$20)*60)+((G73*1.2/units!$D$20)*60)+((H73*1.2/units!$E$20)*60))/60</f>
        <v>12.380952380952381</v>
      </c>
      <c r="U73" s="187">
        <f t="shared" si="29"/>
        <v>7.799725597619048</v>
      </c>
      <c r="V73" s="187">
        <f t="shared" si="30"/>
        <v>5.849794198214285</v>
      </c>
      <c r="W73" s="228">
        <f t="shared" si="31"/>
        <v>44.84842218630952</v>
      </c>
      <c r="X73" s="227"/>
      <c r="Y73" s="187">
        <f>(units!$B$4*(units!$B$25*F73*1.2+units!$D$25*G73*1.2+units!$E$25*H73*1.2)+(F73*1.2*units!$B$33+G73*1.2*units!$D$33+H73*1.2*units!$E$33)+(F73*1.2*units!$B$37+G73*1.2*units!$D$37+H73*1.2*units!$E$37))</f>
        <v>5.5767008076923075</v>
      </c>
      <c r="Z73" s="187">
        <f>units!$F$10*(((F73*1.2/units!$B$21)*60)+((G73*1.2/units!$D$21)*60)+((H73*1.2/units!$E$21)*60))/60</f>
        <v>0.7516025641025642</v>
      </c>
      <c r="AA73" s="187">
        <f>units!$H$10*(((F73*1.2/units!$B$21)*60)+((G73*1.2/units!$D$21)*60)+((H73*1.2/units!$E$21)*60))/60</f>
        <v>7.575757575757576</v>
      </c>
      <c r="AB73" s="187">
        <f t="shared" si="32"/>
        <v>3.476015236888112</v>
      </c>
      <c r="AC73" s="187">
        <f t="shared" si="33"/>
        <v>2.6070114276660843</v>
      </c>
      <c r="AD73" s="188">
        <f t="shared" si="34"/>
        <v>19.987087612106645</v>
      </c>
      <c r="AE73" s="229"/>
      <c r="AF73" s="188">
        <f>IF(E73=units!$N$8,P73,"")</f>
      </c>
      <c r="AG73" s="188">
        <f>IF(E73=units!$M$8,W73,"")</f>
      </c>
      <c r="AH73" s="188">
        <f>IF(E73=units!$L$8,AD73,"")</f>
        <v>19.987087612106645</v>
      </c>
      <c r="AI73" s="188">
        <f t="shared" si="35"/>
        <v>19.987087612106645</v>
      </c>
      <c r="AJ73" s="199">
        <v>2</v>
      </c>
      <c r="AK73" s="255">
        <f t="shared" si="36"/>
        <v>39.97417522421329</v>
      </c>
      <c r="AL73" s="256">
        <f t="shared" si="12"/>
        <v>6995.480664237326</v>
      </c>
      <c r="AM73" s="142"/>
      <c r="AN73" s="242"/>
      <c r="AO73" s="247"/>
    </row>
    <row r="74" spans="1:41" s="139" customFormat="1" ht="15.75">
      <c r="A74" s="294">
        <v>65</v>
      </c>
      <c r="B74" s="191" t="s">
        <v>167</v>
      </c>
      <c r="C74" s="182">
        <v>1</v>
      </c>
      <c r="D74" s="191" t="s">
        <v>170</v>
      </c>
      <c r="E74" s="192" t="str">
        <f>IF(ISNUMBER(C74),IF(C74&lt;=units!$L$7,units!$L$8,IF(C74&lt;=units!$N$7,units!$M$8,IF(C74&gt;units!$O$8,"OXI",units!$N$8))),"--")</f>
        <v>TAXI</v>
      </c>
      <c r="F74" s="183">
        <v>3</v>
      </c>
      <c r="G74" s="184">
        <v>0</v>
      </c>
      <c r="H74" s="185">
        <v>17</v>
      </c>
      <c r="I74" s="186">
        <f t="shared" si="25"/>
        <v>20</v>
      </c>
      <c r="J74" s="282"/>
      <c r="K74" s="277">
        <f>(units!$B$4*(F74*1.2*units!$B$23+G74*1.2*units!$D$23+H74*1.2*units!$E$23))+(F74*1.2*units!$B$31+G74*1.2*units!$D$31+H74*1.2*units!$E$31)+(F74*1.2*units!$B$35+G74*1.2*units!$D$35+H74*1.2*units!$E$35)</f>
        <v>30.702047248351647</v>
      </c>
      <c r="L74" s="187">
        <f>units!$F$8*((F74*1.2/units!$B$19)*60+((G74*1.2/units!$D$19)*60)+((H74*1.2/units!$E$19)*60))/60</f>
        <v>6.661538461538462</v>
      </c>
      <c r="M74" s="187">
        <f>units!$H$8*((F74*1.2/units!$B$19)*60+((G74*1.2/units!$D$19)*60)+((H74*1.2/units!$E$19)*60))/60</f>
        <v>12.467532467532466</v>
      </c>
      <c r="N74" s="187">
        <f t="shared" si="26"/>
        <v>12.457779544355644</v>
      </c>
      <c r="O74" s="187">
        <f t="shared" si="27"/>
        <v>9.343334658266732</v>
      </c>
      <c r="P74" s="188">
        <f t="shared" si="28"/>
        <v>71.63223238004495</v>
      </c>
      <c r="Q74" s="189"/>
      <c r="R74" s="187">
        <f>(F74*1.2*units!$B$36+G74*1.2*units!$D$36+H74*1.2*units!$E$36)+(F74*1.2*units!$B$32+G74*1.2*units!$D$32+H74*1.2*units!$E$32)+(units!$B$4*(F74*1.2*units!$B$24+G74*1.2*units!$D$24+H74*1.2*units!$E$24))</f>
        <v>13.758300665934064</v>
      </c>
      <c r="S74" s="187">
        <f>units!$F$9*(((F74*1.2/units!$B$20)*60)+((G74*1.2/units!$D$20)*60)+((H74*1.2/units!$E$20)*60))/60</f>
        <v>4.19970238095238</v>
      </c>
      <c r="T74" s="187">
        <f>units!$H$9*(((F74*1.2/units!$B$20)*60)+((G74*1.2/units!$D$20)*60)+((H74*1.2/units!$E$20)*60))/60</f>
        <v>11.861471861471863</v>
      </c>
      <c r="U74" s="187">
        <f t="shared" si="29"/>
        <v>7.454868727089576</v>
      </c>
      <c r="V74" s="187">
        <f t="shared" si="30"/>
        <v>5.5911515453171825</v>
      </c>
      <c r="W74" s="188">
        <f t="shared" si="31"/>
        <v>42.865495180765066</v>
      </c>
      <c r="X74" s="189"/>
      <c r="Y74" s="187">
        <f>(units!$B$4*(units!$B$25*F74*1.2+units!$D$25*G74*1.2+units!$E$25*H74*1.2)+(F74*1.2*units!$B$33+G74*1.2*units!$D$33+H74*1.2*units!$E$33)+(F74*1.2*units!$B$37+G74*1.2*units!$D$37+H74*1.2*units!$E$37))</f>
        <v>5.3101606384615385</v>
      </c>
      <c r="Z74" s="187">
        <f>units!$F$10*(((F74*1.2/units!$B$21)*60)+((G74*1.2/units!$D$21)*60)+((H74*1.2/units!$E$21)*60))/60</f>
        <v>0.7181980056980058</v>
      </c>
      <c r="AA74" s="187">
        <f>units!$H$10*(((F74*1.2/units!$B$21)*60)+((G74*1.2/units!$D$21)*60)+((H74*1.2/units!$E$21)*60))/60</f>
        <v>7.23905723905724</v>
      </c>
      <c r="AB74" s="187">
        <f t="shared" si="32"/>
        <v>3.316853970804196</v>
      </c>
      <c r="AC74" s="187">
        <f t="shared" si="33"/>
        <v>2.487640478103147</v>
      </c>
      <c r="AD74" s="188">
        <f t="shared" si="34"/>
        <v>19.071910332124126</v>
      </c>
      <c r="AE74" s="190"/>
      <c r="AF74" s="188">
        <f>IF(E74=units!$N$8,P74,"")</f>
      </c>
      <c r="AG74" s="188">
        <f>IF(E74=units!$M$8,W74,"")</f>
      </c>
      <c r="AH74" s="188">
        <f>IF(E74=units!$L$8,AD74,"")</f>
        <v>19.071910332124126</v>
      </c>
      <c r="AI74" s="188">
        <f t="shared" si="35"/>
        <v>19.071910332124126</v>
      </c>
      <c r="AJ74" s="199">
        <v>2</v>
      </c>
      <c r="AK74" s="255">
        <f t="shared" si="36"/>
        <v>38.14382066424825</v>
      </c>
      <c r="AL74" s="256">
        <f t="shared" si="12"/>
        <v>6675.168616243444</v>
      </c>
      <c r="AM74" s="142"/>
      <c r="AN74" s="242"/>
      <c r="AO74" s="247"/>
    </row>
    <row r="75" spans="1:41" s="139" customFormat="1" ht="30">
      <c r="A75" s="294">
        <v>66</v>
      </c>
      <c r="B75" s="191" t="s">
        <v>171</v>
      </c>
      <c r="C75" s="182">
        <v>35</v>
      </c>
      <c r="D75" s="226" t="s">
        <v>213</v>
      </c>
      <c r="E75" s="192" t="str">
        <f>IF(ISNUMBER(C75),IF(C75&lt;=units!$L$7,units!$L$8,IF(C75&lt;=units!$N$7,units!$M$8,IF(C75&gt;units!$O$8,"OXI",units!$N$8))),"--")</f>
        <v>BUS</v>
      </c>
      <c r="F75" s="183">
        <v>0</v>
      </c>
      <c r="G75" s="184">
        <v>0</v>
      </c>
      <c r="H75" s="185">
        <v>35</v>
      </c>
      <c r="I75" s="186">
        <f t="shared" si="25"/>
        <v>35</v>
      </c>
      <c r="J75" s="282"/>
      <c r="K75" s="277">
        <f>(units!$B$4*(F75*1.2*units!$B$23+G75*1.2*units!$D$23+H75*1.2*units!$E$23))+(F75*1.2*units!$B$31+G75*1.2*units!$D$31+H75*1.2*units!$E$31)+(F75*1.2*units!$B$35+G75*1.2*units!$D$35+H75*1.2*units!$E$35)</f>
        <v>53.610778153846155</v>
      </c>
      <c r="L75" s="187">
        <f>units!$F$8*((F75*1.2/units!$B$19)*60+((G75*1.2/units!$D$19)*60)+((H75*1.2/units!$E$19)*60))/60</f>
        <v>9.714743589743591</v>
      </c>
      <c r="M75" s="187">
        <f>units!$H$8*((F75*1.2/units!$B$19)*60+((G75*1.2/units!$D$19)*60)+((H75*1.2/units!$E$19)*60))/60</f>
        <v>18.181818181818183</v>
      </c>
      <c r="N75" s="187">
        <f t="shared" si="26"/>
        <v>20.376834981351983</v>
      </c>
      <c r="O75" s="187">
        <f t="shared" si="27"/>
        <v>15.282626236013986</v>
      </c>
      <c r="P75" s="188">
        <f t="shared" si="28"/>
        <v>117.16680114277389</v>
      </c>
      <c r="Q75" s="227"/>
      <c r="R75" s="187">
        <f>(F75*1.2*units!$B$36+G75*1.2*units!$D$36+H75*1.2*units!$E$36)+(F75*1.2*units!$B$32+G75*1.2*units!$D$32+H75*1.2*units!$E$32)+(units!$B$4*(F75*1.2*units!$B$24+G75*1.2*units!$D$24+H75*1.2*units!$E$24))</f>
        <v>23.66064369230769</v>
      </c>
      <c r="S75" s="187">
        <f>units!$F$9*(((F75*1.2/units!$B$20)*60)+((G75*1.2/units!$D$20)*60)+((H75*1.2/units!$E$20)*60))/60</f>
        <v>6.4375</v>
      </c>
      <c r="T75" s="187">
        <f>units!$H$9*(((F75*1.2/units!$B$20)*60)+((G75*1.2/units!$D$20)*60)+((H75*1.2/units!$E$20)*60))/60</f>
        <v>18.181818181818183</v>
      </c>
      <c r="U75" s="187">
        <f t="shared" si="29"/>
        <v>12.069990468531469</v>
      </c>
      <c r="V75" s="187">
        <f t="shared" si="30"/>
        <v>9.052492851398602</v>
      </c>
      <c r="W75" s="228">
        <f t="shared" si="31"/>
        <v>69.40244519405594</v>
      </c>
      <c r="X75" s="227"/>
      <c r="Y75" s="187">
        <f>(units!$B$4*(units!$B$25*F75*1.2+units!$D$25*G75*1.2+units!$E$25*H75*1.2)+(F75*1.2*units!$B$33+G75*1.2*units!$D$33+H75*1.2*units!$E$33)+(F75*1.2*units!$B$37+G75*1.2*units!$D$37+H75*1.2*units!$E$37))</f>
        <v>9.328905923076924</v>
      </c>
      <c r="Z75" s="187">
        <f>units!$F$10*(((F75*1.2/units!$B$21)*60)+((G75*1.2/units!$D$21)*60)+((H75*1.2/units!$E$21)*60))/60</f>
        <v>1.1691595441595444</v>
      </c>
      <c r="AA75" s="187">
        <f>units!$H$10*(((F75*1.2/units!$B$21)*60)+((G75*1.2/units!$D$21)*60)+((H75*1.2/units!$E$21)*60))/60</f>
        <v>11.784511784511784</v>
      </c>
      <c r="AB75" s="187">
        <f t="shared" si="32"/>
        <v>5.570644312937063</v>
      </c>
      <c r="AC75" s="187">
        <f t="shared" si="33"/>
        <v>4.177983234702797</v>
      </c>
      <c r="AD75" s="188">
        <f t="shared" si="34"/>
        <v>32.03120479938811</v>
      </c>
      <c r="AE75" s="229"/>
      <c r="AF75" s="188">
        <f>IF(E75=units!$N$8,P75,"")</f>
        <v>117.16680114277389</v>
      </c>
      <c r="AG75" s="188">
        <f>IF(E75=units!$M$8,W75,"")</f>
      </c>
      <c r="AH75" s="188">
        <f>IF(E75=units!$L$8,AD75,"")</f>
      </c>
      <c r="AI75" s="188">
        <f t="shared" si="35"/>
        <v>117.16680114277389</v>
      </c>
      <c r="AJ75" s="199">
        <v>2</v>
      </c>
      <c r="AK75" s="255">
        <f t="shared" si="36"/>
        <v>234.33360228554778</v>
      </c>
      <c r="AL75" s="256">
        <f aca="true" t="shared" si="37" ref="AL75:AL138">AK75*175</f>
        <v>41008.38039997086</v>
      </c>
      <c r="AM75" s="144"/>
      <c r="AN75" s="240"/>
      <c r="AO75" s="247"/>
    </row>
    <row r="76" spans="1:41" s="139" customFormat="1" ht="15.75">
      <c r="A76" s="294">
        <v>67</v>
      </c>
      <c r="B76" s="191" t="s">
        <v>229</v>
      </c>
      <c r="C76" s="182">
        <v>54</v>
      </c>
      <c r="D76" s="191" t="s">
        <v>214</v>
      </c>
      <c r="E76" s="192" t="str">
        <f>IF(ISNUMBER(C76),IF(C76&lt;=units!$L$7,units!$L$8,IF(C76&lt;=units!$N$7,units!$M$8,IF(C76&gt;units!$O$8,"OXI",units!$N$8))),"--")</f>
        <v>BUS</v>
      </c>
      <c r="F76" s="183">
        <v>0</v>
      </c>
      <c r="G76" s="184">
        <v>0</v>
      </c>
      <c r="H76" s="185">
        <v>21</v>
      </c>
      <c r="I76" s="186">
        <f t="shared" si="25"/>
        <v>21</v>
      </c>
      <c r="J76" s="282"/>
      <c r="K76" s="277">
        <f>(units!$B$4*(F76*1.2*units!$B$23+G76*1.2*units!$D$23+H76*1.2*units!$E$23))+(F76*1.2*units!$B$31+G76*1.2*units!$D$31+H76*1.2*units!$E$31)+(F76*1.2*units!$B$35+G76*1.2*units!$D$35+H76*1.2*units!$E$35)</f>
        <v>32.16646689230769</v>
      </c>
      <c r="L76" s="187">
        <f>units!$F$8*((F76*1.2/units!$B$19)*60+((G76*1.2/units!$D$19)*60)+((H76*1.2/units!$E$19)*60))/60</f>
        <v>5.828846153846154</v>
      </c>
      <c r="M76" s="187">
        <f>units!$H$8*((F76*1.2/units!$B$19)*60+((G76*1.2/units!$D$19)*60)+((H76*1.2/units!$E$19)*60))/60</f>
        <v>10.909090909090908</v>
      </c>
      <c r="N76" s="187">
        <f t="shared" si="26"/>
        <v>12.226100988811186</v>
      </c>
      <c r="O76" s="187">
        <f t="shared" si="27"/>
        <v>9.169575741608389</v>
      </c>
      <c r="P76" s="188">
        <f t="shared" si="28"/>
        <v>70.30008068566431</v>
      </c>
      <c r="Q76" s="189"/>
      <c r="R76" s="187">
        <f>(F76*1.2*units!$B$36+G76*1.2*units!$D$36+H76*1.2*units!$E$36)+(F76*1.2*units!$B$32+G76*1.2*units!$D$32+H76*1.2*units!$E$32)+(units!$B$4*(F76*1.2*units!$B$24+G76*1.2*units!$D$24+H76*1.2*units!$E$24))</f>
        <v>14.196386215384615</v>
      </c>
      <c r="S76" s="187">
        <f>units!$F$9*(((F76*1.2/units!$B$20)*60)+((G76*1.2/units!$D$20)*60)+((H76*1.2/units!$E$20)*60))/60</f>
        <v>3.8624999999999994</v>
      </c>
      <c r="T76" s="187">
        <f>units!$H$9*(((F76*1.2/units!$B$20)*60)+((G76*1.2/units!$D$20)*60)+((H76*1.2/units!$E$20)*60))/60</f>
        <v>10.909090909090908</v>
      </c>
      <c r="U76" s="187">
        <f t="shared" si="29"/>
        <v>7.241994281118881</v>
      </c>
      <c r="V76" s="187">
        <f t="shared" si="30"/>
        <v>5.43149571083916</v>
      </c>
      <c r="W76" s="188">
        <f t="shared" si="31"/>
        <v>41.64146711643356</v>
      </c>
      <c r="X76" s="189"/>
      <c r="Y76" s="187">
        <f>(units!$B$4*(units!$B$25*F76*1.2+units!$D$25*G76*1.2+units!$E$25*H76*1.2)+(F76*1.2*units!$B$33+G76*1.2*units!$D$33+H76*1.2*units!$E$33)+(F76*1.2*units!$B$37+G76*1.2*units!$D$37+H76*1.2*units!$E$37))</f>
        <v>5.597343553846153</v>
      </c>
      <c r="Z76" s="187">
        <f>units!$F$10*(((F76*1.2/units!$B$21)*60)+((G76*1.2/units!$D$21)*60)+((H76*1.2/units!$E$21)*60))/60</f>
        <v>0.7014957264957266</v>
      </c>
      <c r="AA76" s="187">
        <f>units!$H$10*(((F76*1.2/units!$B$21)*60)+((G76*1.2/units!$D$21)*60)+((H76*1.2/units!$E$21)*60))/60</f>
        <v>7.07070707070707</v>
      </c>
      <c r="AB76" s="187">
        <f t="shared" si="32"/>
        <v>3.3423865877622374</v>
      </c>
      <c r="AC76" s="187">
        <f t="shared" si="33"/>
        <v>2.5067899408216783</v>
      </c>
      <c r="AD76" s="188">
        <f t="shared" si="34"/>
        <v>19.218722879632868</v>
      </c>
      <c r="AE76" s="190"/>
      <c r="AF76" s="188">
        <f>IF(E76=units!$N$8,P76,"")</f>
        <v>70.30008068566431</v>
      </c>
      <c r="AG76" s="188">
        <f>IF(E76=units!$M$8,W76,"")</f>
      </c>
      <c r="AH76" s="188">
        <f>IF(E76=units!$L$8,AD76,"")</f>
      </c>
      <c r="AI76" s="188">
        <f t="shared" si="35"/>
        <v>70.30008068566431</v>
      </c>
      <c r="AJ76" s="199">
        <v>2</v>
      </c>
      <c r="AK76" s="255">
        <f t="shared" si="36"/>
        <v>140.60016137132862</v>
      </c>
      <c r="AL76" s="256">
        <f t="shared" si="37"/>
        <v>24605.02823998251</v>
      </c>
      <c r="AM76" s="144"/>
      <c r="AN76" s="240"/>
      <c r="AO76" s="247"/>
    </row>
    <row r="77" spans="1:41" s="139" customFormat="1" ht="15.75">
      <c r="A77" s="294">
        <v>68</v>
      </c>
      <c r="B77" s="191" t="s">
        <v>209</v>
      </c>
      <c r="C77" s="182">
        <v>4</v>
      </c>
      <c r="D77" s="226" t="s">
        <v>210</v>
      </c>
      <c r="E77" s="192" t="str">
        <f>IF(ISNUMBER(C77),IF(C77&lt;=units!$L$7,units!$L$8,IF(C77&lt;=units!$N$7,units!$M$8,IF(C77&gt;units!$O$8,"OXI",units!$N$8))),"--")</f>
        <v>TAXI</v>
      </c>
      <c r="F77" s="183">
        <v>0</v>
      </c>
      <c r="G77" s="184">
        <v>0</v>
      </c>
      <c r="H77" s="185">
        <v>2</v>
      </c>
      <c r="I77" s="186">
        <f t="shared" si="25"/>
        <v>2</v>
      </c>
      <c r="J77" s="282"/>
      <c r="K77" s="277">
        <f>(units!$B$4*(F77*1.2*units!$B$23+G77*1.2*units!$D$23+H77*1.2*units!$E$23))+(F77*1.2*units!$B$31+G77*1.2*units!$D$31+H77*1.2*units!$E$31)+(F77*1.2*units!$B$35+G77*1.2*units!$D$35+H77*1.2*units!$E$35)</f>
        <v>3.063473037362637</v>
      </c>
      <c r="L77" s="187">
        <f>units!$F$8*((F77*1.2/units!$B$19)*60+((G77*1.2/units!$D$19)*60)+((H77*1.2/units!$E$19)*60))/60</f>
        <v>0.5551282051282053</v>
      </c>
      <c r="M77" s="187">
        <f>units!$H$8*((F77*1.2/units!$B$19)*60+((G77*1.2/units!$D$19)*60)+((H77*1.2/units!$E$19)*60))/60</f>
        <v>1.038961038961039</v>
      </c>
      <c r="N77" s="187">
        <f t="shared" si="26"/>
        <v>1.1643905703629704</v>
      </c>
      <c r="O77" s="187">
        <f t="shared" si="27"/>
        <v>0.8732929277722278</v>
      </c>
      <c r="P77" s="188">
        <f t="shared" si="28"/>
        <v>6.69524577958708</v>
      </c>
      <c r="Q77" s="227"/>
      <c r="R77" s="187">
        <f>(F77*1.2*units!$B$36+G77*1.2*units!$D$36+H77*1.2*units!$E$36)+(F77*1.2*units!$B$32+G77*1.2*units!$D$32+H77*1.2*units!$E$32)+(units!$B$4*(F77*1.2*units!$B$24+G77*1.2*units!$D$24+H77*1.2*units!$E$24))</f>
        <v>1.3520367824175823</v>
      </c>
      <c r="S77" s="187">
        <f>units!$F$9*(((F77*1.2/units!$B$20)*60)+((G77*1.2/units!$D$20)*60)+((H77*1.2/units!$E$20)*60))/60</f>
        <v>0.3678571428571429</v>
      </c>
      <c r="T77" s="187">
        <f>units!$H$9*(((F77*1.2/units!$B$20)*60)+((G77*1.2/units!$D$20)*60)+((H77*1.2/units!$E$20)*60))/60</f>
        <v>1.038961038961039</v>
      </c>
      <c r="U77" s="187">
        <f t="shared" si="29"/>
        <v>0.6897137410589411</v>
      </c>
      <c r="V77" s="187">
        <f t="shared" si="30"/>
        <v>0.5172853057942058</v>
      </c>
      <c r="W77" s="228">
        <f t="shared" si="31"/>
        <v>3.9658540110889113</v>
      </c>
      <c r="X77" s="227"/>
      <c r="Y77" s="187">
        <f>(units!$B$4*(units!$B$25*F77*1.2+units!$D$25*G77*1.2+units!$E$25*H77*1.2)+(F77*1.2*units!$B$33+G77*1.2*units!$D$33+H77*1.2*units!$E$33)+(F77*1.2*units!$B$37+G77*1.2*units!$D$37+H77*1.2*units!$E$37))</f>
        <v>0.5330803384615384</v>
      </c>
      <c r="Z77" s="187">
        <f>units!$F$10*(((F77*1.2/units!$B$21)*60)+((G77*1.2/units!$D$21)*60)+((H77*1.2/units!$E$21)*60))/60</f>
        <v>0.0668091168091168</v>
      </c>
      <c r="AA77" s="187">
        <f>units!$H$10*(((F77*1.2/units!$B$21)*60)+((G77*1.2/units!$D$21)*60)+((H77*1.2/units!$E$21)*60))/60</f>
        <v>0.6734006734006733</v>
      </c>
      <c r="AB77" s="187">
        <f t="shared" si="32"/>
        <v>0.31832253216783213</v>
      </c>
      <c r="AC77" s="187">
        <f t="shared" si="33"/>
        <v>0.2387418991258741</v>
      </c>
      <c r="AD77" s="188">
        <f t="shared" si="34"/>
        <v>1.8303545599650348</v>
      </c>
      <c r="AE77" s="229"/>
      <c r="AF77" s="188">
        <f>IF(E77=units!$N$8,P77,"")</f>
      </c>
      <c r="AG77" s="188">
        <f>IF(E77=units!$M$8,W77,"")</f>
      </c>
      <c r="AH77" s="188">
        <f>IF(E77=units!$L$8,AD77,"")</f>
        <v>1.8303545599650348</v>
      </c>
      <c r="AI77" s="188">
        <f t="shared" si="35"/>
        <v>1.8303545599650348</v>
      </c>
      <c r="AJ77" s="199">
        <v>2</v>
      </c>
      <c r="AK77" s="255">
        <f t="shared" si="36"/>
        <v>3.6607091199300696</v>
      </c>
      <c r="AL77" s="256">
        <f t="shared" si="37"/>
        <v>640.6240959877622</v>
      </c>
      <c r="AM77" s="142"/>
      <c r="AN77" s="242"/>
      <c r="AO77" s="247"/>
    </row>
    <row r="78" spans="1:41" s="139" customFormat="1" ht="15.75">
      <c r="A78" s="294">
        <v>69</v>
      </c>
      <c r="B78" s="191" t="s">
        <v>322</v>
      </c>
      <c r="C78" s="231">
        <v>4</v>
      </c>
      <c r="D78" s="191" t="s">
        <v>172</v>
      </c>
      <c r="E78" s="192" t="str">
        <f>IF(ISNUMBER(C78),IF(C78&lt;=units!$L$7,units!$L$8,IF(C78&lt;=units!$N$7,units!$M$8,IF(C78&gt;units!$O$8,"OXI",units!$N$8))),"--")</f>
        <v>TAXI</v>
      </c>
      <c r="F78" s="183">
        <v>0</v>
      </c>
      <c r="G78" s="184">
        <v>24</v>
      </c>
      <c r="H78" s="185">
        <v>0</v>
      </c>
      <c r="I78" s="186">
        <f t="shared" si="25"/>
        <v>24</v>
      </c>
      <c r="J78" s="282"/>
      <c r="K78" s="277">
        <f>(units!$B$4*(F78*1.2*units!$B$23+G78*1.2*units!$D$23+H78*1.2*units!$E$23))+(F78*1.2*units!$B$31+G78*1.2*units!$D$31+H78*1.2*units!$E$31)+(F78*1.2*units!$B$35+G78*1.2*units!$D$35+H78*1.2*units!$E$35)</f>
        <v>23.30683421538461</v>
      </c>
      <c r="L78" s="187">
        <f>units!$F$8*((F78*1.2/units!$B$19)*60+((G78*1.2/units!$D$19)*60)+((H78*1.2/units!$E$19)*60))/60</f>
        <v>5.181196581196581</v>
      </c>
      <c r="M78" s="187">
        <f>units!$H$8*((F78*1.2/units!$B$19)*60+((G78*1.2/units!$D$19)*60)+((H78*1.2/units!$E$19)*60))/60</f>
        <v>9.696969696969695</v>
      </c>
      <c r="N78" s="187">
        <f t="shared" si="26"/>
        <v>9.546250123387722</v>
      </c>
      <c r="O78" s="187">
        <f t="shared" si="27"/>
        <v>7.1596875925407915</v>
      </c>
      <c r="P78" s="188">
        <f t="shared" si="28"/>
        <v>54.8909382094794</v>
      </c>
      <c r="Q78" s="189"/>
      <c r="R78" s="187">
        <f>(F78*1.2*units!$B$36+G78*1.2*units!$D$36+H78*1.2*units!$E$36)+(F78*1.2*units!$B$32+G78*1.2*units!$D$32+H78*1.2*units!$E$32)+(units!$B$4*(F78*1.2*units!$B$24+G78*1.2*units!$D$24+H78*1.2*units!$E$24))</f>
        <v>12.680520369230768</v>
      </c>
      <c r="S78" s="187">
        <f>units!$F$9*(((F78*1.2/units!$B$20)*60)+((G78*1.2/units!$D$20)*60)+((H78*1.2/units!$E$20)*60))/60</f>
        <v>3.4333333333333322</v>
      </c>
      <c r="T78" s="187">
        <f>units!$H$9*(((F78*1.2/units!$B$20)*60)+((G78*1.2/units!$D$20)*60)+((H78*1.2/units!$E$20)*60))/60</f>
        <v>9.696969696969695</v>
      </c>
      <c r="U78" s="187">
        <f t="shared" si="29"/>
        <v>6.452705849883449</v>
      </c>
      <c r="V78" s="187">
        <f t="shared" si="30"/>
        <v>4.839529387412587</v>
      </c>
      <c r="W78" s="188">
        <f t="shared" si="31"/>
        <v>37.103058636829836</v>
      </c>
      <c r="X78" s="189"/>
      <c r="Y78" s="187">
        <f>(units!$B$4*(units!$B$25*F78*1.2+units!$D$25*G78*1.2+units!$E$25*H78*1.2)+(F78*1.2*units!$B$33+G78*1.2*units!$D$33+H78*1.2*units!$E$33)+(F78*1.2*units!$B$37+G78*1.2*units!$D$37+H78*1.2*units!$E$37))</f>
        <v>5.4706628139860145</v>
      </c>
      <c r="Z78" s="187">
        <f>units!$F$10*(((F78*1.2/units!$B$21)*60)+((G78*1.2/units!$D$21)*60)+((H78*1.2/units!$E$21)*60))/60</f>
        <v>0.655944055944056</v>
      </c>
      <c r="AA78" s="187">
        <f>units!$H$10*(((F78*1.2/units!$B$21)*60)+((G78*1.2/units!$D$21)*60)+((H78*1.2/units!$E$21)*60))/60</f>
        <v>6.611570247933884</v>
      </c>
      <c r="AB78" s="187">
        <f t="shared" si="32"/>
        <v>3.184544279465989</v>
      </c>
      <c r="AC78" s="187">
        <f t="shared" si="33"/>
        <v>2.3884082095994916</v>
      </c>
      <c r="AD78" s="188">
        <f t="shared" si="34"/>
        <v>18.311129606929434</v>
      </c>
      <c r="AE78" s="190"/>
      <c r="AF78" s="188">
        <f>IF(E78=units!$N$8,P78,"")</f>
      </c>
      <c r="AG78" s="188">
        <f>IF(E78=units!$M$8,W78,"")</f>
      </c>
      <c r="AH78" s="188">
        <f>IF(E78=units!$L$8,AD78,"")</f>
        <v>18.311129606929434</v>
      </c>
      <c r="AI78" s="188">
        <f t="shared" si="35"/>
        <v>18.311129606929434</v>
      </c>
      <c r="AJ78" s="199">
        <v>12</v>
      </c>
      <c r="AK78" s="255">
        <f t="shared" si="36"/>
        <v>219.7335552831532</v>
      </c>
      <c r="AL78" s="256">
        <f t="shared" si="37"/>
        <v>38453.37217455181</v>
      </c>
      <c r="AM78" s="144"/>
      <c r="AN78" s="242"/>
      <c r="AO78" s="247"/>
    </row>
    <row r="79" spans="1:41" s="139" customFormat="1" ht="15.75">
      <c r="A79" s="294">
        <v>70</v>
      </c>
      <c r="B79" s="191" t="s">
        <v>209</v>
      </c>
      <c r="C79" s="182">
        <v>2</v>
      </c>
      <c r="D79" s="226" t="s">
        <v>211</v>
      </c>
      <c r="E79" s="192" t="str">
        <f>IF(ISNUMBER(C79),IF(C79&lt;=units!$L$7,units!$L$8,IF(C79&lt;=units!$N$7,units!$M$8,IF(C79&gt;units!$O$8,"OXI",units!$N$8))),"--")</f>
        <v>TAXI</v>
      </c>
      <c r="F79" s="183">
        <v>0</v>
      </c>
      <c r="G79" s="184">
        <v>0</v>
      </c>
      <c r="H79" s="185">
        <v>2</v>
      </c>
      <c r="I79" s="186">
        <f t="shared" si="25"/>
        <v>2</v>
      </c>
      <c r="J79" s="282"/>
      <c r="K79" s="277">
        <f>(units!$B$4*(F79*1.2*units!$B$23+G79*1.2*units!$D$23+H79*1.2*units!$E$23))+(F79*1.2*units!$B$31+G79*1.2*units!$D$31+H79*1.2*units!$E$31)+(F79*1.2*units!$B$35+G79*1.2*units!$D$35+H79*1.2*units!$E$35)</f>
        <v>3.063473037362637</v>
      </c>
      <c r="L79" s="187">
        <f>units!$F$8*((F79*1.2/units!$B$19)*60+((G79*1.2/units!$D$19)*60)+((H79*1.2/units!$E$19)*60))/60</f>
        <v>0.5551282051282053</v>
      </c>
      <c r="M79" s="187">
        <f>units!$H$8*((F79*1.2/units!$B$19)*60+((G79*1.2/units!$D$19)*60)+((H79*1.2/units!$E$19)*60))/60</f>
        <v>1.038961038961039</v>
      </c>
      <c r="N79" s="187">
        <f t="shared" si="26"/>
        <v>1.1643905703629704</v>
      </c>
      <c r="O79" s="187">
        <f t="shared" si="27"/>
        <v>0.8732929277722278</v>
      </c>
      <c r="P79" s="188">
        <f t="shared" si="28"/>
        <v>6.69524577958708</v>
      </c>
      <c r="Q79" s="227"/>
      <c r="R79" s="187">
        <f>(F79*1.2*units!$B$36+G79*1.2*units!$D$36+H79*1.2*units!$E$36)+(F79*1.2*units!$B$32+G79*1.2*units!$D$32+H79*1.2*units!$E$32)+(units!$B$4*(F79*1.2*units!$B$24+G79*1.2*units!$D$24+H79*1.2*units!$E$24))</f>
        <v>1.3520367824175823</v>
      </c>
      <c r="S79" s="187">
        <f>units!$F$9*(((F79*1.2/units!$B$20)*60)+((G79*1.2/units!$D$20)*60)+((H79*1.2/units!$E$20)*60))/60</f>
        <v>0.3678571428571429</v>
      </c>
      <c r="T79" s="187">
        <f>units!$H$9*(((F79*1.2/units!$B$20)*60)+((G79*1.2/units!$D$20)*60)+((H79*1.2/units!$E$20)*60))/60</f>
        <v>1.038961038961039</v>
      </c>
      <c r="U79" s="187">
        <f t="shared" si="29"/>
        <v>0.6897137410589411</v>
      </c>
      <c r="V79" s="187">
        <f t="shared" si="30"/>
        <v>0.5172853057942058</v>
      </c>
      <c r="W79" s="228">
        <f t="shared" si="31"/>
        <v>3.9658540110889113</v>
      </c>
      <c r="X79" s="227"/>
      <c r="Y79" s="187">
        <f>(units!$B$4*(units!$B$25*F79*1.2+units!$D$25*G79*1.2+units!$E$25*H79*1.2)+(F79*1.2*units!$B$33+G79*1.2*units!$D$33+H79*1.2*units!$E$33)+(F79*1.2*units!$B$37+G79*1.2*units!$D$37+H79*1.2*units!$E$37))</f>
        <v>0.5330803384615384</v>
      </c>
      <c r="Z79" s="187">
        <f>units!$F$10*(((F79*1.2/units!$B$21)*60)+((G79*1.2/units!$D$21)*60)+((H79*1.2/units!$E$21)*60))/60</f>
        <v>0.0668091168091168</v>
      </c>
      <c r="AA79" s="187">
        <f>units!$H$10*(((F79*1.2/units!$B$21)*60)+((G79*1.2/units!$D$21)*60)+((H79*1.2/units!$E$21)*60))/60</f>
        <v>0.6734006734006733</v>
      </c>
      <c r="AB79" s="187">
        <f t="shared" si="32"/>
        <v>0.31832253216783213</v>
      </c>
      <c r="AC79" s="187">
        <f t="shared" si="33"/>
        <v>0.2387418991258741</v>
      </c>
      <c r="AD79" s="188">
        <f t="shared" si="34"/>
        <v>1.8303545599650348</v>
      </c>
      <c r="AE79" s="229"/>
      <c r="AF79" s="188">
        <f>IF(E79=units!$N$8,P79,"")</f>
      </c>
      <c r="AG79" s="188">
        <f>IF(E79=units!$M$8,W79,"")</f>
      </c>
      <c r="AH79" s="188">
        <f>IF(E79=units!$L$8,AD79,"")</f>
        <v>1.8303545599650348</v>
      </c>
      <c r="AI79" s="188">
        <f t="shared" si="35"/>
        <v>1.8303545599650348</v>
      </c>
      <c r="AJ79" s="199">
        <v>2</v>
      </c>
      <c r="AK79" s="255">
        <f t="shared" si="36"/>
        <v>3.6607091199300696</v>
      </c>
      <c r="AL79" s="256">
        <f t="shared" si="37"/>
        <v>640.6240959877622</v>
      </c>
      <c r="AM79" s="144"/>
      <c r="AN79" s="242"/>
      <c r="AO79" s="247"/>
    </row>
    <row r="80" spans="1:41" s="139" customFormat="1" ht="15.75">
      <c r="A80" s="294">
        <v>71</v>
      </c>
      <c r="B80" s="191" t="s">
        <v>215</v>
      </c>
      <c r="C80" s="182">
        <v>27</v>
      </c>
      <c r="D80" s="191" t="s">
        <v>216</v>
      </c>
      <c r="E80" s="192" t="str">
        <f>IF(ISNUMBER(C80),IF(C80&lt;=units!$L$7,units!$L$8,IF(C80&lt;=units!$N$7,units!$M$8,IF(C80&gt;units!$O$8,"OXI",units!$N$8))),"--")</f>
        <v>BUS</v>
      </c>
      <c r="F80" s="183">
        <v>0</v>
      </c>
      <c r="G80" s="184">
        <v>0</v>
      </c>
      <c r="H80" s="185">
        <v>10</v>
      </c>
      <c r="I80" s="186">
        <f t="shared" si="25"/>
        <v>10</v>
      </c>
      <c r="J80" s="282"/>
      <c r="K80" s="277">
        <f>(units!$B$4*(F80*1.2*units!$B$23+G80*1.2*units!$D$23+H80*1.2*units!$E$23))+(F80*1.2*units!$B$31+G80*1.2*units!$D$31+H80*1.2*units!$E$31)+(F80*1.2*units!$B$35+G80*1.2*units!$D$35+H80*1.2*units!$E$35)</f>
        <v>15.317365186813188</v>
      </c>
      <c r="L80" s="187">
        <f>units!$F$8*((F80*1.2/units!$B$19)*60+((G80*1.2/units!$D$19)*60)+((H80*1.2/units!$E$19)*60))/60</f>
        <v>2.7756410256410264</v>
      </c>
      <c r="M80" s="187">
        <f>units!$H$8*((F80*1.2/units!$B$19)*60+((G80*1.2/units!$D$19)*60)+((H80*1.2/units!$E$19)*60))/60</f>
        <v>5.194805194805196</v>
      </c>
      <c r="N80" s="187">
        <f t="shared" si="26"/>
        <v>5.821952851814852</v>
      </c>
      <c r="O80" s="187">
        <f t="shared" si="27"/>
        <v>4.366464638861139</v>
      </c>
      <c r="P80" s="188">
        <f t="shared" si="28"/>
        <v>33.4762288979354</v>
      </c>
      <c r="Q80" s="189"/>
      <c r="R80" s="187">
        <f>(F80*1.2*units!$B$36+G80*1.2*units!$D$36+H80*1.2*units!$E$36)+(F80*1.2*units!$B$32+G80*1.2*units!$D$32+H80*1.2*units!$E$32)+(units!$B$4*(F80*1.2*units!$B$24+G80*1.2*units!$D$24+H80*1.2*units!$E$24))</f>
        <v>6.760183912087912</v>
      </c>
      <c r="S80" s="187">
        <f>units!$F$9*(((F80*1.2/units!$B$20)*60)+((G80*1.2/units!$D$20)*60)+((H80*1.2/units!$E$20)*60))/60</f>
        <v>1.8392857142857144</v>
      </c>
      <c r="T80" s="187">
        <f>units!$H$9*(((F80*1.2/units!$B$20)*60)+((G80*1.2/units!$D$20)*60)+((H80*1.2/units!$E$20)*60))/60</f>
        <v>5.194805194805196</v>
      </c>
      <c r="U80" s="187">
        <f t="shared" si="29"/>
        <v>3.448568705294705</v>
      </c>
      <c r="V80" s="187">
        <f t="shared" si="30"/>
        <v>2.5864265289710286</v>
      </c>
      <c r="W80" s="188">
        <f t="shared" si="31"/>
        <v>19.829270055444553</v>
      </c>
      <c r="X80" s="189"/>
      <c r="Y80" s="187">
        <f>(units!$B$4*(units!$B$25*F80*1.2+units!$D$25*G80*1.2+units!$E$25*H80*1.2)+(F80*1.2*units!$B$33+G80*1.2*units!$D$33+H80*1.2*units!$E$33)+(F80*1.2*units!$B$37+G80*1.2*units!$D$37+H80*1.2*units!$E$37))</f>
        <v>2.665401692307692</v>
      </c>
      <c r="Z80" s="187">
        <f>units!$F$10*(((F80*1.2/units!$B$21)*60)+((G80*1.2/units!$D$21)*60)+((H80*1.2/units!$E$21)*60))/60</f>
        <v>0.3340455840455841</v>
      </c>
      <c r="AA80" s="187">
        <f>units!$H$10*(((F80*1.2/units!$B$21)*60)+((G80*1.2/units!$D$21)*60)+((H80*1.2/units!$E$21)*60))/60</f>
        <v>3.367003367003367</v>
      </c>
      <c r="AB80" s="187">
        <f t="shared" si="32"/>
        <v>1.5916126608391608</v>
      </c>
      <c r="AC80" s="187">
        <f t="shared" si="33"/>
        <v>1.1937094956293706</v>
      </c>
      <c r="AD80" s="188">
        <f t="shared" si="34"/>
        <v>9.151772799825174</v>
      </c>
      <c r="AE80" s="190"/>
      <c r="AF80" s="188">
        <f>IF(E80=units!$N$8,P80,"")</f>
        <v>33.4762288979354</v>
      </c>
      <c r="AG80" s="188">
        <f>IF(E80=units!$M$8,W80,"")</f>
      </c>
      <c r="AH80" s="188">
        <f>IF(E80=units!$L$8,AD80,"")</f>
      </c>
      <c r="AI80" s="188">
        <f t="shared" si="35"/>
        <v>33.4762288979354</v>
      </c>
      <c r="AJ80" s="199">
        <v>2</v>
      </c>
      <c r="AK80" s="255">
        <f t="shared" si="36"/>
        <v>66.9524577958708</v>
      </c>
      <c r="AL80" s="256">
        <f t="shared" si="37"/>
        <v>11716.68011427739</v>
      </c>
      <c r="AM80" s="142"/>
      <c r="AN80" s="240"/>
      <c r="AO80" s="247"/>
    </row>
    <row r="81" spans="1:41" s="139" customFormat="1" ht="15.75">
      <c r="A81" s="294">
        <v>72</v>
      </c>
      <c r="B81" s="230" t="s">
        <v>217</v>
      </c>
      <c r="C81" s="182">
        <v>9</v>
      </c>
      <c r="D81" s="226" t="s">
        <v>138</v>
      </c>
      <c r="E81" s="192" t="str">
        <f>IF(ISNUMBER(C81),IF(C81&lt;=units!$L$7,units!$L$8,IF(C81&lt;=units!$N$7,units!$M$8,IF(C81&gt;units!$O$8,"OXI",units!$N$8))),"--")</f>
        <v>MINI</v>
      </c>
      <c r="F81" s="183">
        <v>10.5</v>
      </c>
      <c r="G81" s="184">
        <v>0</v>
      </c>
      <c r="H81" s="185">
        <v>0</v>
      </c>
      <c r="I81" s="186">
        <f t="shared" si="25"/>
        <v>10.5</v>
      </c>
      <c r="J81" s="282"/>
      <c r="K81" s="277">
        <f>(units!$B$4*(F81*1.2*units!$B$23+G81*1.2*units!$D$23+H81*1.2*units!$E$23))+(F81*1.2*units!$B$31+G81*1.2*units!$D$31+H81*1.2*units!$E$31)+(F81*1.2*units!$B$35+G81*1.2*units!$D$35+H81*1.2*units!$E$35)</f>
        <v>16.318842507692306</v>
      </c>
      <c r="L81" s="187">
        <f>units!$F$8*((F81*1.2/units!$B$19)*60+((G81*1.2/units!$D$19)*60)+((H81*1.2/units!$E$19)*60))/60</f>
        <v>6.800320512820514</v>
      </c>
      <c r="M81" s="187">
        <f>units!$H$8*((F81*1.2/units!$B$19)*60+((G81*1.2/units!$D$19)*60)+((H81*1.2/units!$E$19)*60))/60</f>
        <v>12.727272727272727</v>
      </c>
      <c r="N81" s="187">
        <f t="shared" si="26"/>
        <v>8.961608936946387</v>
      </c>
      <c r="O81" s="187">
        <f t="shared" si="27"/>
        <v>6.72120670270979</v>
      </c>
      <c r="P81" s="188">
        <f t="shared" si="28"/>
        <v>51.52925138744173</v>
      </c>
      <c r="Q81" s="227"/>
      <c r="R81" s="187">
        <f>(F81*1.2*units!$B$36+G81*1.2*units!$D$36+H81*1.2*units!$E$36)+(F81*1.2*units!$B$32+G81*1.2*units!$D$32+H81*1.2*units!$E$32)+(units!$B$4*(F81*1.2*units!$B$24+G81*1.2*units!$D$24+H81*1.2*units!$E$24))</f>
        <v>7.930958053846153</v>
      </c>
      <c r="S81" s="187">
        <f>units!$F$9*(((F81*1.2/units!$B$20)*60)+((G81*1.2/units!$D$20)*60)+((H81*1.2/units!$E$20)*60))/60</f>
        <v>3.7552083333333335</v>
      </c>
      <c r="T81" s="187">
        <f>units!$H$9*(((F81*1.2/units!$B$20)*60)+((G81*1.2/units!$D$20)*60)+((H81*1.2/units!$E$20)*60))/60</f>
        <v>10.606060606060606</v>
      </c>
      <c r="U81" s="187">
        <f t="shared" si="29"/>
        <v>5.573056748310023</v>
      </c>
      <c r="V81" s="187">
        <f t="shared" si="30"/>
        <v>4.179792561232517</v>
      </c>
      <c r="W81" s="228">
        <f t="shared" si="31"/>
        <v>32.04507630278263</v>
      </c>
      <c r="X81" s="227"/>
      <c r="Y81" s="187">
        <f>(units!$B$4*(units!$B$25*F81*1.2+units!$D$25*G81*1.2+units!$E$25*H81*1.2)+(F81*1.2*units!$B$33+G81*1.2*units!$D$33+H81*1.2*units!$E$33)+(F81*1.2*units!$B$37+G81*1.2*units!$D$37+H81*1.2*units!$E$37))</f>
        <v>2.7264221653846152</v>
      </c>
      <c r="Z81" s="187">
        <f>units!$F$10*(((F81*1.2/units!$B$21)*60)+((G81*1.2/units!$D$21)*60)+((H81*1.2/units!$E$21)*60))/60</f>
        <v>0.526121794871795</v>
      </c>
      <c r="AA81" s="187">
        <f>units!$H$10*(((F81*1.2/units!$B$21)*60)+((G81*1.2/units!$D$21)*60)+((H81*1.2/units!$E$21)*60))/60</f>
        <v>5.303030303030303</v>
      </c>
      <c r="AB81" s="187">
        <f t="shared" si="32"/>
        <v>2.1388935658216783</v>
      </c>
      <c r="AC81" s="187">
        <f t="shared" si="33"/>
        <v>1.6041701743662589</v>
      </c>
      <c r="AD81" s="188">
        <f t="shared" si="34"/>
        <v>12.29863800347465</v>
      </c>
      <c r="AE81" s="229"/>
      <c r="AF81" s="188">
        <f>IF(E81=units!$N$8,P81,"")</f>
      </c>
      <c r="AG81" s="188">
        <f>IF(E81=units!$M$8,W81,"")</f>
        <v>32.04507630278263</v>
      </c>
      <c r="AH81" s="188">
        <f>IF(E81=units!$L$8,AD81,"")</f>
      </c>
      <c r="AI81" s="188">
        <f t="shared" si="35"/>
        <v>32.04507630278263</v>
      </c>
      <c r="AJ81" s="199">
        <v>4</v>
      </c>
      <c r="AK81" s="255">
        <f t="shared" si="36"/>
        <v>128.18030521113053</v>
      </c>
      <c r="AL81" s="256">
        <f t="shared" si="37"/>
        <v>22431.553411947843</v>
      </c>
      <c r="AM81" s="142"/>
      <c r="AN81" s="242"/>
      <c r="AO81" s="247"/>
    </row>
    <row r="82" spans="1:41" s="139" customFormat="1" ht="30">
      <c r="A82" s="294">
        <v>73</v>
      </c>
      <c r="B82" s="191" t="s">
        <v>220</v>
      </c>
      <c r="C82" s="182">
        <v>4</v>
      </c>
      <c r="D82" s="191" t="s">
        <v>266</v>
      </c>
      <c r="E82" s="192" t="str">
        <f>IF(ISNUMBER(C82),IF(C82&lt;=units!$L$7,units!$L$8,IF(C82&lt;=units!$N$7,units!$M$8,IF(C82&gt;units!$O$8,"OXI",units!$N$8))),"--")</f>
        <v>TAXI</v>
      </c>
      <c r="F82" s="183">
        <v>0</v>
      </c>
      <c r="G82" s="184">
        <v>0</v>
      </c>
      <c r="H82" s="185">
        <v>80</v>
      </c>
      <c r="I82" s="186">
        <f t="shared" si="25"/>
        <v>80</v>
      </c>
      <c r="J82" s="282"/>
      <c r="K82" s="277">
        <f>(units!$B$4*(F82*1.2*units!$B$23+G82*1.2*units!$D$23+H82*1.2*units!$E$23))+(F82*1.2*units!$B$31+G82*1.2*units!$D$31+H82*1.2*units!$E$31)+(F82*1.2*units!$B$35+G82*1.2*units!$D$35+H82*1.2*units!$E$35)</f>
        <v>122.5389214945055</v>
      </c>
      <c r="L82" s="187">
        <f>units!$F$8*((F82*1.2/units!$B$19)*60+((G82*1.2/units!$D$19)*60)+((H82*1.2/units!$E$19)*60))/60</f>
        <v>22.20512820512821</v>
      </c>
      <c r="M82" s="187">
        <f>units!$H$8*((F82*1.2/units!$B$19)*60+((G82*1.2/units!$D$19)*60)+((H82*1.2/units!$E$19)*60))/60</f>
        <v>41.558441558441565</v>
      </c>
      <c r="N82" s="187">
        <f t="shared" si="26"/>
        <v>46.575622814518816</v>
      </c>
      <c r="O82" s="187">
        <f t="shared" si="27"/>
        <v>34.93171711088911</v>
      </c>
      <c r="P82" s="188">
        <f t="shared" si="28"/>
        <v>267.8098311834832</v>
      </c>
      <c r="Q82" s="189"/>
      <c r="R82" s="187">
        <f>(F82*1.2*units!$B$36+G82*1.2*units!$D$36+H82*1.2*units!$E$36)+(F82*1.2*units!$B$32+G82*1.2*units!$D$32+H82*1.2*units!$E$32)+(units!$B$4*(F82*1.2*units!$B$24+G82*1.2*units!$D$24+H82*1.2*units!$E$24))</f>
        <v>54.0814712967033</v>
      </c>
      <c r="S82" s="187">
        <f>units!$F$9*(((F82*1.2/units!$B$20)*60)+((G82*1.2/units!$D$20)*60)+((H82*1.2/units!$E$20)*60))/60</f>
        <v>14.714285714285715</v>
      </c>
      <c r="T82" s="187">
        <f>units!$H$9*(((F82*1.2/units!$B$20)*60)+((G82*1.2/units!$D$20)*60)+((H82*1.2/units!$E$20)*60))/60</f>
        <v>41.558441558441565</v>
      </c>
      <c r="U82" s="187">
        <f t="shared" si="29"/>
        <v>27.58854964235764</v>
      </c>
      <c r="V82" s="187">
        <f t="shared" si="30"/>
        <v>20.69141223176823</v>
      </c>
      <c r="W82" s="188">
        <f t="shared" si="31"/>
        <v>158.63416044355642</v>
      </c>
      <c r="X82" s="189"/>
      <c r="Y82" s="187">
        <f>(units!$B$4*(units!$B$25*F82*1.2+units!$D$25*G82*1.2+units!$E$25*H82*1.2)+(F82*1.2*units!$B$33+G82*1.2*units!$D$33+H82*1.2*units!$E$33)+(F82*1.2*units!$B$37+G82*1.2*units!$D$37+H82*1.2*units!$E$37))</f>
        <v>21.323213538461538</v>
      </c>
      <c r="Z82" s="187">
        <f>units!$F$10*(((F82*1.2/units!$B$21)*60)+((G82*1.2/units!$D$21)*60)+((H82*1.2/units!$E$21)*60))/60</f>
        <v>2.672364672364673</v>
      </c>
      <c r="AA82" s="187">
        <f>units!$H$10*(((F82*1.2/units!$B$21)*60)+((G82*1.2/units!$D$21)*60)+((H82*1.2/units!$E$21)*60))/60</f>
        <v>26.936026936026938</v>
      </c>
      <c r="AB82" s="187">
        <f t="shared" si="32"/>
        <v>12.732901286713286</v>
      </c>
      <c r="AC82" s="187">
        <f t="shared" si="33"/>
        <v>9.549675965034965</v>
      </c>
      <c r="AD82" s="188">
        <f t="shared" si="34"/>
        <v>73.2141823986014</v>
      </c>
      <c r="AE82" s="190"/>
      <c r="AF82" s="188">
        <f>IF(E82=units!$N$8,P82,"")</f>
      </c>
      <c r="AG82" s="188">
        <f>IF(E82=units!$M$8,W82,"")</f>
      </c>
      <c r="AH82" s="188">
        <f>IF(E82=units!$L$8,AD82,"")</f>
        <v>73.2141823986014</v>
      </c>
      <c r="AI82" s="188">
        <f t="shared" si="35"/>
        <v>73.2141823986014</v>
      </c>
      <c r="AJ82" s="199">
        <v>2</v>
      </c>
      <c r="AK82" s="255">
        <f t="shared" si="36"/>
        <v>146.4283647972028</v>
      </c>
      <c r="AL82" s="256">
        <f t="shared" si="37"/>
        <v>25624.96383951049</v>
      </c>
      <c r="AM82" s="142"/>
      <c r="AN82" s="242"/>
      <c r="AO82" s="247"/>
    </row>
    <row r="83" spans="1:41" s="139" customFormat="1" ht="15.75">
      <c r="A83" s="294">
        <v>74</v>
      </c>
      <c r="B83" s="191" t="s">
        <v>171</v>
      </c>
      <c r="C83" s="182">
        <v>45</v>
      </c>
      <c r="D83" s="226" t="s">
        <v>212</v>
      </c>
      <c r="E83" s="192" t="str">
        <f>IF(ISNUMBER(C83),IF(C83&lt;=units!$L$7,units!$L$8,IF(C83&lt;=units!$N$7,units!$M$8,IF(C83&gt;units!$O$8,"OXI",units!$N$8))),"--")</f>
        <v>BUS</v>
      </c>
      <c r="F83" s="183">
        <v>5</v>
      </c>
      <c r="G83" s="184">
        <v>0</v>
      </c>
      <c r="H83" s="185">
        <v>0</v>
      </c>
      <c r="I83" s="186">
        <f t="shared" si="25"/>
        <v>5</v>
      </c>
      <c r="J83" s="282"/>
      <c r="K83" s="277">
        <f>(units!$B$4*(F83*1.2*units!$B$23+G83*1.2*units!$D$23+H83*1.2*units!$E$23))+(F83*1.2*units!$B$31+G83*1.2*units!$D$31+H83*1.2*units!$E$31)+(F83*1.2*units!$B$35+G83*1.2*units!$D$35+H83*1.2*units!$E$35)</f>
        <v>7.7708773846153845</v>
      </c>
      <c r="L83" s="187">
        <f>units!$F$8*((F83*1.2/units!$B$19)*60+((G83*1.2/units!$D$19)*60)+((H83*1.2/units!$E$19)*60))/60</f>
        <v>3.2382478632478637</v>
      </c>
      <c r="M83" s="187">
        <f>units!$H$8*((F83*1.2/units!$B$19)*60+((G83*1.2/units!$D$19)*60)+((H83*1.2/units!$E$19)*60))/60</f>
        <v>6.0606060606060606</v>
      </c>
      <c r="N83" s="187">
        <f t="shared" si="26"/>
        <v>4.267432827117327</v>
      </c>
      <c r="O83" s="187">
        <f t="shared" si="27"/>
        <v>3.200574620337995</v>
      </c>
      <c r="P83" s="188">
        <f t="shared" si="28"/>
        <v>24.53773875592463</v>
      </c>
      <c r="Q83" s="227"/>
      <c r="R83" s="187">
        <f>(F83*1.2*units!$B$36+G83*1.2*units!$D$36+H83*1.2*units!$E$36)+(F83*1.2*units!$B$32+G83*1.2*units!$D$32+H83*1.2*units!$E$32)+(units!$B$4*(F83*1.2*units!$B$24+G83*1.2*units!$D$24+H83*1.2*units!$E$24))</f>
        <v>3.776646692307692</v>
      </c>
      <c r="S83" s="187">
        <f>units!$F$9*(((F83*1.2/units!$B$20)*60)+((G83*1.2/units!$D$20)*60)+((H83*1.2/units!$E$20)*60))/60</f>
        <v>1.7881944444444442</v>
      </c>
      <c r="T83" s="187">
        <f>units!$H$9*(((F83*1.2/units!$B$20)*60)+((G83*1.2/units!$D$20)*60)+((H83*1.2/units!$E$20)*60))/60</f>
        <v>5.050505050505051</v>
      </c>
      <c r="U83" s="187">
        <f t="shared" si="29"/>
        <v>2.653836546814297</v>
      </c>
      <c r="V83" s="187">
        <f t="shared" si="30"/>
        <v>1.9903774101107228</v>
      </c>
      <c r="W83" s="228">
        <f t="shared" si="31"/>
        <v>15.259560144182208</v>
      </c>
      <c r="X83" s="227"/>
      <c r="Y83" s="187">
        <f>(units!$B$4*(units!$B$25*F83*1.2+units!$D$25*G83*1.2+units!$E$25*H83*1.2)+(F83*1.2*units!$B$33+G83*1.2*units!$D$33+H83*1.2*units!$E$33)+(F83*1.2*units!$B$37+G83*1.2*units!$D$37+H83*1.2*units!$E$37))</f>
        <v>1.2982962692307691</v>
      </c>
      <c r="Z83" s="187">
        <f>units!$F$10*(((F83*1.2/units!$B$21)*60)+((G83*1.2/units!$D$21)*60)+((H83*1.2/units!$E$21)*60))/60</f>
        <v>0.2505341880341881</v>
      </c>
      <c r="AA83" s="187">
        <f>units!$H$10*(((F83*1.2/units!$B$21)*60)+((G83*1.2/units!$D$21)*60)+((H83*1.2/units!$E$21)*60))/60</f>
        <v>2.525252525252525</v>
      </c>
      <c r="AB83" s="187">
        <f t="shared" si="32"/>
        <v>1.0185207456293706</v>
      </c>
      <c r="AC83" s="187">
        <f t="shared" si="33"/>
        <v>0.7638905592220279</v>
      </c>
      <c r="AD83" s="188">
        <f t="shared" si="34"/>
        <v>5.85649428736888</v>
      </c>
      <c r="AE83" s="229"/>
      <c r="AF83" s="188">
        <f>IF(E83=units!$N$8,P83,"")</f>
        <v>24.53773875592463</v>
      </c>
      <c r="AG83" s="188">
        <f>IF(E83=units!$M$8,W83,"")</f>
      </c>
      <c r="AH83" s="188">
        <f>IF(E83=units!$L$8,AD83,"")</f>
      </c>
      <c r="AI83" s="188">
        <f t="shared" si="35"/>
        <v>24.53773875592463</v>
      </c>
      <c r="AJ83" s="199">
        <v>2</v>
      </c>
      <c r="AK83" s="255">
        <f t="shared" si="36"/>
        <v>49.07547751184926</v>
      </c>
      <c r="AL83" s="256">
        <f t="shared" si="37"/>
        <v>8588.20856457362</v>
      </c>
      <c r="AM83" s="144"/>
      <c r="AN83" s="240"/>
      <c r="AO83" s="247"/>
    </row>
    <row r="84" spans="1:41" s="139" customFormat="1" ht="15.75">
      <c r="A84" s="294">
        <v>75</v>
      </c>
      <c r="B84" s="191" t="s">
        <v>171</v>
      </c>
      <c r="C84" s="182">
        <v>1</v>
      </c>
      <c r="D84" s="191" t="s">
        <v>173</v>
      </c>
      <c r="E84" s="192" t="str">
        <f>IF(ISNUMBER(C84),IF(C84&lt;=units!$L$7,units!$L$8,IF(C84&lt;=units!$N$7,units!$M$8,IF(C84&gt;units!$O$8,"OXI",units!$N$8))),"--")</f>
        <v>TAXI</v>
      </c>
      <c r="F84" s="183">
        <v>3</v>
      </c>
      <c r="G84" s="184">
        <v>0</v>
      </c>
      <c r="H84" s="185">
        <v>45</v>
      </c>
      <c r="I84" s="186">
        <f t="shared" si="25"/>
        <v>48</v>
      </c>
      <c r="J84" s="282"/>
      <c r="K84" s="277">
        <f>(units!$B$4*(F84*1.2*units!$B$23+G84*1.2*units!$D$23+H84*1.2*units!$E$23))+(F84*1.2*units!$B$31+G84*1.2*units!$D$31+H84*1.2*units!$E$31)+(F84*1.2*units!$B$35+G84*1.2*units!$D$35+H84*1.2*units!$E$35)</f>
        <v>73.59066977142857</v>
      </c>
      <c r="L84" s="187">
        <f>units!$F$8*((F84*1.2/units!$B$19)*60+((G84*1.2/units!$D$19)*60)+((H84*1.2/units!$E$19)*60))/60</f>
        <v>14.433333333333334</v>
      </c>
      <c r="M84" s="187">
        <f>units!$H$8*((F84*1.2/units!$B$19)*60+((G84*1.2/units!$D$19)*60)+((H84*1.2/units!$E$19)*60))/60</f>
        <v>27.01298701298701</v>
      </c>
      <c r="N84" s="187">
        <f t="shared" si="26"/>
        <v>28.75924752943723</v>
      </c>
      <c r="O84" s="187">
        <f t="shared" si="27"/>
        <v>21.56943564707792</v>
      </c>
      <c r="P84" s="188">
        <f t="shared" si="28"/>
        <v>165.36567329426404</v>
      </c>
      <c r="Q84" s="189"/>
      <c r="R84" s="187">
        <f>(F84*1.2*units!$B$36+G84*1.2*units!$D$36+H84*1.2*units!$E$36)+(F84*1.2*units!$B$32+G84*1.2*units!$D$32+H84*1.2*units!$E$32)+(units!$B$4*(F84*1.2*units!$B$24+G84*1.2*units!$D$24+H84*1.2*units!$E$24))</f>
        <v>32.68681561978022</v>
      </c>
      <c r="S84" s="187">
        <f>units!$F$9*(((F84*1.2/units!$B$20)*60)+((G84*1.2/units!$D$20)*60)+((H84*1.2/units!$E$20)*60))/60</f>
        <v>9.34970238095238</v>
      </c>
      <c r="T84" s="187">
        <f>units!$H$9*(((F84*1.2/units!$B$20)*60)+((G84*1.2/units!$D$20)*60)+((H84*1.2/units!$E$20)*60))/60</f>
        <v>26.406926406926406</v>
      </c>
      <c r="U84" s="187">
        <f t="shared" si="29"/>
        <v>17.11086110191475</v>
      </c>
      <c r="V84" s="187">
        <f t="shared" si="30"/>
        <v>12.833145826436063</v>
      </c>
      <c r="W84" s="188">
        <f t="shared" si="31"/>
        <v>98.38745133600982</v>
      </c>
      <c r="X84" s="189"/>
      <c r="Y84" s="187">
        <f>(units!$B$4*(units!$B$25*F84*1.2+units!$D$25*G84*1.2+units!$E$25*H84*1.2)+(F84*1.2*units!$B$33+G84*1.2*units!$D$33+H84*1.2*units!$E$33)+(F84*1.2*units!$B$37+G84*1.2*units!$D$37+H84*1.2*units!$E$37))</f>
        <v>12.773285376923075</v>
      </c>
      <c r="Z84" s="187">
        <f>units!$F$10*(((F84*1.2/units!$B$21)*60)+((G84*1.2/units!$D$21)*60)+((H84*1.2/units!$E$21)*60))/60</f>
        <v>1.6535256410256414</v>
      </c>
      <c r="AA84" s="187">
        <f>units!$H$10*(((F84*1.2/units!$B$21)*60)+((G84*1.2/units!$D$21)*60)+((H84*1.2/units!$E$21)*60))/60</f>
        <v>16.666666666666668</v>
      </c>
      <c r="AB84" s="187">
        <f t="shared" si="32"/>
        <v>7.773369421153847</v>
      </c>
      <c r="AC84" s="187">
        <f t="shared" si="33"/>
        <v>5.8300270658653846</v>
      </c>
      <c r="AD84" s="188">
        <f t="shared" si="34"/>
        <v>44.69687417163462</v>
      </c>
      <c r="AE84" s="190"/>
      <c r="AF84" s="188">
        <f>IF(E84=units!$N$8,P84,"")</f>
      </c>
      <c r="AG84" s="188">
        <f>IF(E84=units!$M$8,W84,"")</f>
      </c>
      <c r="AH84" s="188">
        <f>IF(E84=units!$L$8,AD84,"")</f>
        <v>44.69687417163462</v>
      </c>
      <c r="AI84" s="188">
        <f t="shared" si="35"/>
        <v>44.69687417163462</v>
      </c>
      <c r="AJ84" s="199">
        <v>2</v>
      </c>
      <c r="AK84" s="255">
        <f t="shared" si="36"/>
        <v>89.39374834326924</v>
      </c>
      <c r="AL84" s="256">
        <f t="shared" si="37"/>
        <v>15643.905960072116</v>
      </c>
      <c r="AM84" s="142"/>
      <c r="AN84" s="242"/>
      <c r="AO84" s="247"/>
    </row>
    <row r="85" spans="1:41" s="139" customFormat="1" ht="30">
      <c r="A85" s="294">
        <v>76</v>
      </c>
      <c r="B85" s="191" t="s">
        <v>225</v>
      </c>
      <c r="C85" s="231">
        <v>4</v>
      </c>
      <c r="D85" s="226" t="s">
        <v>175</v>
      </c>
      <c r="E85" s="192" t="str">
        <f>IF(ISNUMBER(C85),IF(C85&lt;=units!$L$7,units!$L$8,IF(C85&lt;=units!$N$7,units!$M$8,IF(C85&gt;units!$O$8,"OXI",units!$N$8))),"--")</f>
        <v>TAXI</v>
      </c>
      <c r="F85" s="183">
        <v>10</v>
      </c>
      <c r="G85" s="184">
        <v>0</v>
      </c>
      <c r="H85" s="185">
        <v>0</v>
      </c>
      <c r="I85" s="186">
        <f t="shared" si="25"/>
        <v>10</v>
      </c>
      <c r="J85" s="282"/>
      <c r="K85" s="277">
        <f>(units!$B$4*(F85*1.2*units!$B$23+G85*1.2*units!$D$23+H85*1.2*units!$E$23))+(F85*1.2*units!$B$31+G85*1.2*units!$D$31+H85*1.2*units!$E$31)+(F85*1.2*units!$B$35+G85*1.2*units!$D$35+H85*1.2*units!$E$35)</f>
        <v>15.541754769230769</v>
      </c>
      <c r="L85" s="187">
        <f>units!$F$8*((F85*1.2/units!$B$19)*60+((G85*1.2/units!$D$19)*60)+((H85*1.2/units!$E$19)*60))/60</f>
        <v>6.4764957264957275</v>
      </c>
      <c r="M85" s="187">
        <f>units!$H$8*((F85*1.2/units!$B$19)*60+((G85*1.2/units!$D$19)*60)+((H85*1.2/units!$E$19)*60))/60</f>
        <v>12.121212121212121</v>
      </c>
      <c r="N85" s="187">
        <f t="shared" si="26"/>
        <v>8.534865654234654</v>
      </c>
      <c r="O85" s="187">
        <f t="shared" si="27"/>
        <v>6.40114924067599</v>
      </c>
      <c r="P85" s="188">
        <f t="shared" si="28"/>
        <v>49.07547751184926</v>
      </c>
      <c r="Q85" s="227"/>
      <c r="R85" s="187">
        <f>(F85*1.2*units!$B$36+G85*1.2*units!$D$36+H85*1.2*units!$E$36)+(F85*1.2*units!$B$32+G85*1.2*units!$D$32+H85*1.2*units!$E$32)+(units!$B$4*(F85*1.2*units!$B$24+G85*1.2*units!$D$24+H85*1.2*units!$E$24))</f>
        <v>7.553293384615384</v>
      </c>
      <c r="S85" s="187">
        <f>units!$F$9*(((F85*1.2/units!$B$20)*60)+((G85*1.2/units!$D$20)*60)+((H85*1.2/units!$E$20)*60))/60</f>
        <v>3.5763888888888884</v>
      </c>
      <c r="T85" s="187">
        <f>units!$H$9*(((F85*1.2/units!$B$20)*60)+((G85*1.2/units!$D$20)*60)+((H85*1.2/units!$E$20)*60))/60</f>
        <v>10.101010101010102</v>
      </c>
      <c r="U85" s="187">
        <f t="shared" si="29"/>
        <v>5.307673093628594</v>
      </c>
      <c r="V85" s="187">
        <f t="shared" si="30"/>
        <v>3.9807548202214456</v>
      </c>
      <c r="W85" s="228">
        <f t="shared" si="31"/>
        <v>30.519120288364416</v>
      </c>
      <c r="X85" s="227"/>
      <c r="Y85" s="187">
        <f>(units!$B$4*(units!$B$25*F85*1.2+units!$D$25*G85*1.2+units!$E$25*H85*1.2)+(F85*1.2*units!$B$33+G85*1.2*units!$D$33+H85*1.2*units!$E$33)+(F85*1.2*units!$B$37+G85*1.2*units!$D$37+H85*1.2*units!$E$37))</f>
        <v>2.5965925384615383</v>
      </c>
      <c r="Z85" s="187">
        <f>units!$F$10*(((F85*1.2/units!$B$21)*60)+((G85*1.2/units!$D$21)*60)+((H85*1.2/units!$E$21)*60))/60</f>
        <v>0.5010683760683762</v>
      </c>
      <c r="AA85" s="187">
        <f>units!$H$10*(((F85*1.2/units!$B$21)*60)+((G85*1.2/units!$D$21)*60)+((H85*1.2/units!$E$21)*60))/60</f>
        <v>5.05050505050505</v>
      </c>
      <c r="AB85" s="187">
        <f t="shared" si="32"/>
        <v>2.037041491258741</v>
      </c>
      <c r="AC85" s="187">
        <f t="shared" si="33"/>
        <v>1.5277811184440557</v>
      </c>
      <c r="AD85" s="188">
        <f t="shared" si="34"/>
        <v>11.71298857473776</v>
      </c>
      <c r="AE85" s="229"/>
      <c r="AF85" s="188">
        <f>IF(E85=units!$N$8,P85,"")</f>
      </c>
      <c r="AG85" s="188">
        <f>IF(E85=units!$M$8,W85,"")</f>
      </c>
      <c r="AH85" s="188">
        <f>IF(E85=units!$L$8,AD85,"")</f>
        <v>11.71298857473776</v>
      </c>
      <c r="AI85" s="188">
        <f t="shared" si="35"/>
        <v>11.71298857473776</v>
      </c>
      <c r="AJ85" s="199">
        <v>8</v>
      </c>
      <c r="AK85" s="255">
        <f t="shared" si="36"/>
        <v>93.70390859790209</v>
      </c>
      <c r="AL85" s="256">
        <f t="shared" si="37"/>
        <v>16398.184004632865</v>
      </c>
      <c r="AM85" s="142"/>
      <c r="AN85" s="242"/>
      <c r="AO85" s="247"/>
    </row>
    <row r="86" spans="1:41" s="139" customFormat="1" ht="30">
      <c r="A86" s="294">
        <v>77</v>
      </c>
      <c r="B86" s="191" t="s">
        <v>174</v>
      </c>
      <c r="C86" s="182">
        <v>5</v>
      </c>
      <c r="D86" s="191" t="s">
        <v>176</v>
      </c>
      <c r="E86" s="192" t="str">
        <f>IF(ISNUMBER(C86),IF(C86&lt;=units!$L$7,units!$L$8,IF(C86&lt;=units!$N$7,units!$M$8,IF(C86&gt;units!$O$8,"OXI",units!$N$8))),"--")</f>
        <v>TAXI</v>
      </c>
      <c r="F86" s="183">
        <v>0</v>
      </c>
      <c r="G86" s="184">
        <v>0</v>
      </c>
      <c r="H86" s="185">
        <v>30</v>
      </c>
      <c r="I86" s="186">
        <f t="shared" si="25"/>
        <v>30</v>
      </c>
      <c r="J86" s="282"/>
      <c r="K86" s="277">
        <f>(units!$B$4*(F86*1.2*units!$B$23+G86*1.2*units!$D$23+H86*1.2*units!$E$23))+(F86*1.2*units!$B$31+G86*1.2*units!$D$31+H86*1.2*units!$E$31)+(F86*1.2*units!$B$35+G86*1.2*units!$D$35+H86*1.2*units!$E$35)</f>
        <v>45.95209556043957</v>
      </c>
      <c r="L86" s="187">
        <f>units!$F$8*((F86*1.2/units!$B$19)*60+((G86*1.2/units!$D$19)*60)+((H86*1.2/units!$E$19)*60))/60</f>
        <v>8.326923076923077</v>
      </c>
      <c r="M86" s="187">
        <f>units!$H$8*((F86*1.2/units!$B$19)*60+((G86*1.2/units!$D$19)*60)+((H86*1.2/units!$E$19)*60))/60</f>
        <v>15.584415584415584</v>
      </c>
      <c r="N86" s="187">
        <f t="shared" si="26"/>
        <v>17.465858555444555</v>
      </c>
      <c r="O86" s="187">
        <f t="shared" si="27"/>
        <v>13.099393916583416</v>
      </c>
      <c r="P86" s="188">
        <f t="shared" si="28"/>
        <v>100.42868669380618</v>
      </c>
      <c r="Q86" s="189"/>
      <c r="R86" s="187">
        <f>(F86*1.2*units!$B$36+G86*1.2*units!$D$36+H86*1.2*units!$E$36)+(F86*1.2*units!$B$32+G86*1.2*units!$D$32+H86*1.2*units!$E$32)+(units!$B$4*(F86*1.2*units!$B$24+G86*1.2*units!$D$24+H86*1.2*units!$E$24))</f>
        <v>20.28055173626374</v>
      </c>
      <c r="S86" s="187">
        <f>units!$F$9*(((F86*1.2/units!$B$20)*60)+((G86*1.2/units!$D$20)*60)+((H86*1.2/units!$E$20)*60))/60</f>
        <v>5.5178571428571415</v>
      </c>
      <c r="T86" s="187">
        <f>units!$H$9*(((F86*1.2/units!$B$20)*60)+((G86*1.2/units!$D$20)*60)+((H86*1.2/units!$E$20)*60))/60</f>
        <v>15.584415584415584</v>
      </c>
      <c r="U86" s="187">
        <f t="shared" si="29"/>
        <v>10.345706115884116</v>
      </c>
      <c r="V86" s="187">
        <f t="shared" si="30"/>
        <v>7.759279586913086</v>
      </c>
      <c r="W86" s="188">
        <f t="shared" si="31"/>
        <v>59.48781016633367</v>
      </c>
      <c r="X86" s="189"/>
      <c r="Y86" s="187">
        <f>(units!$B$4*(units!$B$25*F86*1.2+units!$D$25*G86*1.2+units!$E$25*H86*1.2)+(F86*1.2*units!$B$33+G86*1.2*units!$D$33+H86*1.2*units!$E$33)+(F86*1.2*units!$B$37+G86*1.2*units!$D$37+H86*1.2*units!$E$37))</f>
        <v>7.996205076923077</v>
      </c>
      <c r="Z86" s="187">
        <f>units!$F$10*(((F86*1.2/units!$B$21)*60)+((G86*1.2/units!$D$21)*60)+((H86*1.2/units!$E$21)*60))/60</f>
        <v>1.0021367521367524</v>
      </c>
      <c r="AA86" s="187">
        <f>units!$H$10*(((F86*1.2/units!$B$21)*60)+((G86*1.2/units!$D$21)*60)+((H86*1.2/units!$E$21)*60))/60</f>
        <v>10.1010101010101</v>
      </c>
      <c r="AB86" s="187">
        <f t="shared" si="32"/>
        <v>4.774837982517482</v>
      </c>
      <c r="AC86" s="187">
        <f t="shared" si="33"/>
        <v>3.5811284868881117</v>
      </c>
      <c r="AD86" s="188">
        <f t="shared" si="34"/>
        <v>27.455318399475523</v>
      </c>
      <c r="AE86" s="190"/>
      <c r="AF86" s="188">
        <f>IF(E86=units!$N$8,P86,"")</f>
      </c>
      <c r="AG86" s="188">
        <f>IF(E86=units!$M$8,W86,"")</f>
      </c>
      <c r="AH86" s="188">
        <f>IF(E86=units!$L$8,AD86,"")</f>
        <v>27.455318399475523</v>
      </c>
      <c r="AI86" s="188">
        <f t="shared" si="35"/>
        <v>27.455318399475523</v>
      </c>
      <c r="AJ86" s="199">
        <v>2</v>
      </c>
      <c r="AK86" s="255">
        <f t="shared" si="36"/>
        <v>54.910636798951046</v>
      </c>
      <c r="AL86" s="256">
        <f t="shared" si="37"/>
        <v>9609.361439816434</v>
      </c>
      <c r="AM86" s="142"/>
      <c r="AN86" s="242"/>
      <c r="AO86" s="247"/>
    </row>
    <row r="87" spans="1:41" s="139" customFormat="1" ht="15.75">
      <c r="A87" s="294">
        <v>78</v>
      </c>
      <c r="B87" s="191" t="s">
        <v>226</v>
      </c>
      <c r="C87" s="231">
        <v>4</v>
      </c>
      <c r="D87" s="226" t="s">
        <v>177</v>
      </c>
      <c r="E87" s="192" t="str">
        <f>IF(ISNUMBER(C87),IF(C87&lt;=units!$L$7,units!$L$8,IF(C87&lt;=units!$N$7,units!$M$8,IF(C87&gt;units!$O$8,"OXI",units!$N$8))),"--")</f>
        <v>TAXI</v>
      </c>
      <c r="F87" s="183">
        <v>7</v>
      </c>
      <c r="G87" s="184">
        <v>0</v>
      </c>
      <c r="H87" s="185">
        <v>0</v>
      </c>
      <c r="I87" s="186">
        <f t="shared" si="25"/>
        <v>7</v>
      </c>
      <c r="J87" s="282"/>
      <c r="K87" s="277">
        <f>(units!$B$4*(F87*1.2*units!$B$23+G87*1.2*units!$D$23+H87*1.2*units!$E$23))+(F87*1.2*units!$B$31+G87*1.2*units!$D$31+H87*1.2*units!$E$31)+(F87*1.2*units!$B$35+G87*1.2*units!$D$35+H87*1.2*units!$E$35)</f>
        <v>10.87922833846154</v>
      </c>
      <c r="L87" s="187">
        <f>units!$F$8*((F87*1.2/units!$B$19)*60+((G87*1.2/units!$D$19)*60)+((H87*1.2/units!$E$19)*60))/60</f>
        <v>4.533547008547009</v>
      </c>
      <c r="M87" s="187">
        <f>units!$H$8*((F87*1.2/units!$B$19)*60+((G87*1.2/units!$D$19)*60)+((H87*1.2/units!$E$19)*60))/60</f>
        <v>8.484848484848486</v>
      </c>
      <c r="N87" s="187">
        <f t="shared" si="26"/>
        <v>5.974405957964258</v>
      </c>
      <c r="O87" s="187">
        <f t="shared" si="27"/>
        <v>4.480804468473194</v>
      </c>
      <c r="P87" s="188">
        <f t="shared" si="28"/>
        <v>34.352834258294486</v>
      </c>
      <c r="Q87" s="227"/>
      <c r="R87" s="187">
        <f>(F87*1.2*units!$B$36+G87*1.2*units!$D$36+H87*1.2*units!$E$36)+(F87*1.2*units!$B$32+G87*1.2*units!$D$32+H87*1.2*units!$E$32)+(units!$B$4*(F87*1.2*units!$B$24+G87*1.2*units!$D$24+H87*1.2*units!$E$24))</f>
        <v>5.287305369230769</v>
      </c>
      <c r="S87" s="187">
        <f>units!$F$9*(((F87*1.2/units!$B$20)*60)+((G87*1.2/units!$D$20)*60)+((H87*1.2/units!$E$20)*60))/60</f>
        <v>2.503472222222222</v>
      </c>
      <c r="T87" s="187">
        <f>units!$H$9*(((F87*1.2/units!$B$20)*60)+((G87*1.2/units!$D$20)*60)+((H87*1.2/units!$E$20)*60))/60</f>
        <v>7.070707070707071</v>
      </c>
      <c r="U87" s="187">
        <f t="shared" si="29"/>
        <v>3.7153711655400157</v>
      </c>
      <c r="V87" s="187">
        <f t="shared" si="30"/>
        <v>2.786528374155012</v>
      </c>
      <c r="W87" s="228">
        <f t="shared" si="31"/>
        <v>21.36338420185509</v>
      </c>
      <c r="X87" s="227"/>
      <c r="Y87" s="187">
        <f>(units!$B$4*(units!$B$25*F87*1.2+units!$D$25*G87*1.2+units!$E$25*H87*1.2)+(F87*1.2*units!$B$33+G87*1.2*units!$D$33+H87*1.2*units!$E$33)+(F87*1.2*units!$B$37+G87*1.2*units!$D$37+H87*1.2*units!$E$37))</f>
        <v>1.8176147769230768</v>
      </c>
      <c r="Z87" s="187">
        <f>units!$F$10*(((F87*1.2/units!$B$21)*60)+((G87*1.2/units!$D$21)*60)+((H87*1.2/units!$E$21)*60))/60</f>
        <v>0.35074786324786333</v>
      </c>
      <c r="AA87" s="187">
        <f>units!$H$10*(((F87*1.2/units!$B$21)*60)+((G87*1.2/units!$D$21)*60)+((H87*1.2/units!$E$21)*60))/60</f>
        <v>3.5353535353535355</v>
      </c>
      <c r="AB87" s="187">
        <f t="shared" si="32"/>
        <v>1.425929043881119</v>
      </c>
      <c r="AC87" s="187">
        <f t="shared" si="33"/>
        <v>1.0694467829108392</v>
      </c>
      <c r="AD87" s="188">
        <f t="shared" si="34"/>
        <v>8.199092002316434</v>
      </c>
      <c r="AE87" s="229"/>
      <c r="AF87" s="188">
        <f>IF(E87=units!$N$8,P87,"")</f>
      </c>
      <c r="AG87" s="188">
        <f>IF(E87=units!$M$8,W87,"")</f>
      </c>
      <c r="AH87" s="188">
        <f>IF(E87=units!$L$8,AD87,"")</f>
        <v>8.199092002316434</v>
      </c>
      <c r="AI87" s="188">
        <f t="shared" si="35"/>
        <v>8.199092002316434</v>
      </c>
      <c r="AJ87" s="199">
        <v>10</v>
      </c>
      <c r="AK87" s="255">
        <f t="shared" si="36"/>
        <v>81.99092002316434</v>
      </c>
      <c r="AL87" s="256">
        <f t="shared" si="37"/>
        <v>14348.411004053758</v>
      </c>
      <c r="AM87" s="142"/>
      <c r="AN87" s="242"/>
      <c r="AO87" s="247"/>
    </row>
    <row r="88" spans="1:41" s="139" customFormat="1" ht="15.75">
      <c r="A88" s="294">
        <v>79</v>
      </c>
      <c r="B88" s="191" t="s">
        <v>174</v>
      </c>
      <c r="C88" s="182">
        <v>4</v>
      </c>
      <c r="D88" s="191" t="s">
        <v>178</v>
      </c>
      <c r="E88" s="192" t="str">
        <f>IF(ISNUMBER(C88),IF(C88&lt;=units!$L$7,units!$L$8,IF(C88&lt;=units!$N$7,units!$M$8,IF(C88&gt;units!$O$8,"OXI",units!$N$8))),"--")</f>
        <v>TAXI</v>
      </c>
      <c r="F88" s="183">
        <v>10</v>
      </c>
      <c r="G88" s="184">
        <v>0</v>
      </c>
      <c r="H88" s="185">
        <v>0</v>
      </c>
      <c r="I88" s="186">
        <f t="shared" si="25"/>
        <v>10</v>
      </c>
      <c r="J88" s="282"/>
      <c r="K88" s="277">
        <f>(units!$B$4*(F88*1.2*units!$B$23+G88*1.2*units!$D$23+H88*1.2*units!$E$23))+(F88*1.2*units!$B$31+G88*1.2*units!$D$31+H88*1.2*units!$E$31)+(F88*1.2*units!$B$35+G88*1.2*units!$D$35+H88*1.2*units!$E$35)</f>
        <v>15.541754769230769</v>
      </c>
      <c r="L88" s="187">
        <f>units!$F$8*((F88*1.2/units!$B$19)*60+((G88*1.2/units!$D$19)*60)+((H88*1.2/units!$E$19)*60))/60</f>
        <v>6.4764957264957275</v>
      </c>
      <c r="M88" s="187">
        <f>units!$H$8*((F88*1.2/units!$B$19)*60+((G88*1.2/units!$D$19)*60)+((H88*1.2/units!$E$19)*60))/60</f>
        <v>12.121212121212121</v>
      </c>
      <c r="N88" s="187">
        <f t="shared" si="26"/>
        <v>8.534865654234654</v>
      </c>
      <c r="O88" s="187">
        <f t="shared" si="27"/>
        <v>6.40114924067599</v>
      </c>
      <c r="P88" s="188">
        <f t="shared" si="28"/>
        <v>49.07547751184926</v>
      </c>
      <c r="Q88" s="189"/>
      <c r="R88" s="187">
        <f>(F88*1.2*units!$B$36+G88*1.2*units!$D$36+H88*1.2*units!$E$36)+(F88*1.2*units!$B$32+G88*1.2*units!$D$32+H88*1.2*units!$E$32)+(units!$B$4*(F88*1.2*units!$B$24+G88*1.2*units!$D$24+H88*1.2*units!$E$24))</f>
        <v>7.553293384615384</v>
      </c>
      <c r="S88" s="187">
        <f>units!$F$9*(((F88*1.2/units!$B$20)*60)+((G88*1.2/units!$D$20)*60)+((H88*1.2/units!$E$20)*60))/60</f>
        <v>3.5763888888888884</v>
      </c>
      <c r="T88" s="187">
        <f>units!$H$9*(((F88*1.2/units!$B$20)*60)+((G88*1.2/units!$D$20)*60)+((H88*1.2/units!$E$20)*60))/60</f>
        <v>10.101010101010102</v>
      </c>
      <c r="U88" s="187">
        <f t="shared" si="29"/>
        <v>5.307673093628594</v>
      </c>
      <c r="V88" s="187">
        <f t="shared" si="30"/>
        <v>3.9807548202214456</v>
      </c>
      <c r="W88" s="188">
        <f t="shared" si="31"/>
        <v>30.519120288364416</v>
      </c>
      <c r="X88" s="189"/>
      <c r="Y88" s="187">
        <f>(units!$B$4*(units!$B$25*F88*1.2+units!$D$25*G88*1.2+units!$E$25*H88*1.2)+(F88*1.2*units!$B$33+G88*1.2*units!$D$33+H88*1.2*units!$E$33)+(F88*1.2*units!$B$37+G88*1.2*units!$D$37+H88*1.2*units!$E$37))</f>
        <v>2.5965925384615383</v>
      </c>
      <c r="Z88" s="187">
        <f>units!$F$10*(((F88*1.2/units!$B$21)*60)+((G88*1.2/units!$D$21)*60)+((H88*1.2/units!$E$21)*60))/60</f>
        <v>0.5010683760683762</v>
      </c>
      <c r="AA88" s="187">
        <f>units!$H$10*(((F88*1.2/units!$B$21)*60)+((G88*1.2/units!$D$21)*60)+((H88*1.2/units!$E$21)*60))/60</f>
        <v>5.05050505050505</v>
      </c>
      <c r="AB88" s="187">
        <f t="shared" si="32"/>
        <v>2.037041491258741</v>
      </c>
      <c r="AC88" s="187">
        <f t="shared" si="33"/>
        <v>1.5277811184440557</v>
      </c>
      <c r="AD88" s="188">
        <f t="shared" si="34"/>
        <v>11.71298857473776</v>
      </c>
      <c r="AE88" s="190"/>
      <c r="AF88" s="188">
        <f>IF(E88=units!$N$8,P88,"")</f>
      </c>
      <c r="AG88" s="188">
        <f>IF(E88=units!$M$8,W88,"")</f>
      </c>
      <c r="AH88" s="188">
        <f>IF(E88=units!$L$8,AD88,"")</f>
        <v>11.71298857473776</v>
      </c>
      <c r="AI88" s="188">
        <f t="shared" si="35"/>
        <v>11.71298857473776</v>
      </c>
      <c r="AJ88" s="199">
        <v>2</v>
      </c>
      <c r="AK88" s="255">
        <f t="shared" si="36"/>
        <v>23.42597714947552</v>
      </c>
      <c r="AL88" s="256">
        <f t="shared" si="37"/>
        <v>4099.546001158216</v>
      </c>
      <c r="AM88" s="142"/>
      <c r="AN88" s="242"/>
      <c r="AO88" s="247"/>
    </row>
    <row r="89" spans="1:41" s="139" customFormat="1" ht="15.75">
      <c r="A89" s="294">
        <v>80</v>
      </c>
      <c r="B89" s="191" t="s">
        <v>227</v>
      </c>
      <c r="C89" s="231">
        <v>4</v>
      </c>
      <c r="D89" s="226" t="s">
        <v>179</v>
      </c>
      <c r="E89" s="192" t="str">
        <f>IF(ISNUMBER(C89),IF(C89&lt;=units!$L$7,units!$L$8,IF(C89&lt;=units!$N$7,units!$M$8,IF(C89&gt;units!$O$8,"OXI",units!$N$8))),"--")</f>
        <v>TAXI</v>
      </c>
      <c r="F89" s="183">
        <v>5</v>
      </c>
      <c r="G89" s="184">
        <v>0</v>
      </c>
      <c r="H89" s="185">
        <v>0</v>
      </c>
      <c r="I89" s="186">
        <f t="shared" si="25"/>
        <v>5</v>
      </c>
      <c r="J89" s="282"/>
      <c r="K89" s="277">
        <f>(units!$B$4*(F89*1.2*units!$B$23+G89*1.2*units!$D$23+H89*1.2*units!$E$23))+(F89*1.2*units!$B$31+G89*1.2*units!$D$31+H89*1.2*units!$E$31)+(F89*1.2*units!$B$35+G89*1.2*units!$D$35+H89*1.2*units!$E$35)</f>
        <v>7.7708773846153845</v>
      </c>
      <c r="L89" s="187">
        <f>units!$F$8*((F89*1.2/units!$B$19)*60+((G89*1.2/units!$D$19)*60)+((H89*1.2/units!$E$19)*60))/60</f>
        <v>3.2382478632478637</v>
      </c>
      <c r="M89" s="187">
        <f>units!$H$8*((F89*1.2/units!$B$19)*60+((G89*1.2/units!$D$19)*60)+((H89*1.2/units!$E$19)*60))/60</f>
        <v>6.0606060606060606</v>
      </c>
      <c r="N89" s="187">
        <f t="shared" si="26"/>
        <v>4.267432827117327</v>
      </c>
      <c r="O89" s="187">
        <f t="shared" si="27"/>
        <v>3.200574620337995</v>
      </c>
      <c r="P89" s="188">
        <f t="shared" si="28"/>
        <v>24.53773875592463</v>
      </c>
      <c r="Q89" s="227"/>
      <c r="R89" s="187">
        <f>(F89*1.2*units!$B$36+G89*1.2*units!$D$36+H89*1.2*units!$E$36)+(F89*1.2*units!$B$32+G89*1.2*units!$D$32+H89*1.2*units!$E$32)+(units!$B$4*(F89*1.2*units!$B$24+G89*1.2*units!$D$24+H89*1.2*units!$E$24))</f>
        <v>3.776646692307692</v>
      </c>
      <c r="S89" s="187">
        <f>units!$F$9*(((F89*1.2/units!$B$20)*60)+((G89*1.2/units!$D$20)*60)+((H89*1.2/units!$E$20)*60))/60</f>
        <v>1.7881944444444442</v>
      </c>
      <c r="T89" s="187">
        <f>units!$H$9*(((F89*1.2/units!$B$20)*60)+((G89*1.2/units!$D$20)*60)+((H89*1.2/units!$E$20)*60))/60</f>
        <v>5.050505050505051</v>
      </c>
      <c r="U89" s="187">
        <f t="shared" si="29"/>
        <v>2.653836546814297</v>
      </c>
      <c r="V89" s="187">
        <f t="shared" si="30"/>
        <v>1.9903774101107228</v>
      </c>
      <c r="W89" s="228">
        <f t="shared" si="31"/>
        <v>15.259560144182208</v>
      </c>
      <c r="X89" s="227"/>
      <c r="Y89" s="187">
        <f>(units!$B$4*(units!$B$25*F89*1.2+units!$D$25*G89*1.2+units!$E$25*H89*1.2)+(F89*1.2*units!$B$33+G89*1.2*units!$D$33+H89*1.2*units!$E$33)+(F89*1.2*units!$B$37+G89*1.2*units!$D$37+H89*1.2*units!$E$37))</f>
        <v>1.2982962692307691</v>
      </c>
      <c r="Z89" s="187">
        <f>units!$F$10*(((F89*1.2/units!$B$21)*60)+((G89*1.2/units!$D$21)*60)+((H89*1.2/units!$E$21)*60))/60</f>
        <v>0.2505341880341881</v>
      </c>
      <c r="AA89" s="187">
        <f>units!$H$10*(((F89*1.2/units!$B$21)*60)+((G89*1.2/units!$D$21)*60)+((H89*1.2/units!$E$21)*60))/60</f>
        <v>2.525252525252525</v>
      </c>
      <c r="AB89" s="187">
        <f t="shared" si="32"/>
        <v>1.0185207456293706</v>
      </c>
      <c r="AC89" s="187">
        <f t="shared" si="33"/>
        <v>0.7638905592220279</v>
      </c>
      <c r="AD89" s="188">
        <f t="shared" si="34"/>
        <v>5.85649428736888</v>
      </c>
      <c r="AE89" s="229"/>
      <c r="AF89" s="188">
        <f>IF(E89=units!$N$8,P89,"")</f>
      </c>
      <c r="AG89" s="188">
        <f>IF(E89=units!$M$8,W89,"")</f>
      </c>
      <c r="AH89" s="188">
        <f>IF(E89=units!$L$8,AD89,"")</f>
        <v>5.85649428736888</v>
      </c>
      <c r="AI89" s="188">
        <f t="shared" si="35"/>
        <v>5.85649428736888</v>
      </c>
      <c r="AJ89" s="199">
        <v>6</v>
      </c>
      <c r="AK89" s="255">
        <f t="shared" si="36"/>
        <v>35.13896572421328</v>
      </c>
      <c r="AL89" s="256">
        <f t="shared" si="37"/>
        <v>6149.319001737324</v>
      </c>
      <c r="AM89" s="142"/>
      <c r="AN89" s="242"/>
      <c r="AO89" s="247"/>
    </row>
    <row r="90" spans="1:41" s="139" customFormat="1" ht="15.75">
      <c r="A90" s="294">
        <v>81</v>
      </c>
      <c r="B90" s="191" t="s">
        <v>174</v>
      </c>
      <c r="C90" s="182">
        <v>3</v>
      </c>
      <c r="D90" s="191" t="s">
        <v>219</v>
      </c>
      <c r="E90" s="192" t="str">
        <f>IF(ISNUMBER(C90),IF(C90&lt;=units!$L$7,units!$L$8,IF(C90&lt;=units!$N$7,units!$M$8,IF(C90&gt;units!$O$8,"OXI",units!$N$8))),"--")</f>
        <v>TAXI</v>
      </c>
      <c r="F90" s="183">
        <v>0</v>
      </c>
      <c r="G90" s="184">
        <v>0</v>
      </c>
      <c r="H90" s="185">
        <v>65</v>
      </c>
      <c r="I90" s="186">
        <f t="shared" si="25"/>
        <v>65</v>
      </c>
      <c r="J90" s="282"/>
      <c r="K90" s="277">
        <f>(units!$B$4*(F90*1.2*units!$B$23+G90*1.2*units!$D$23+H90*1.2*units!$E$23))+(F90*1.2*units!$B$31+G90*1.2*units!$D$31+H90*1.2*units!$E$31)+(F90*1.2*units!$B$35+G90*1.2*units!$D$35+H90*1.2*units!$E$35)</f>
        <v>99.5628737142857</v>
      </c>
      <c r="L90" s="187">
        <f>units!$F$8*((F90*1.2/units!$B$19)*60+((G90*1.2/units!$D$19)*60)+((H90*1.2/units!$E$19)*60))/60</f>
        <v>18.04166666666667</v>
      </c>
      <c r="M90" s="187">
        <f>units!$H$8*((F90*1.2/units!$B$19)*60+((G90*1.2/units!$D$19)*60)+((H90*1.2/units!$E$19)*60))/60</f>
        <v>33.766233766233775</v>
      </c>
      <c r="N90" s="187">
        <f t="shared" si="26"/>
        <v>37.84269353679654</v>
      </c>
      <c r="O90" s="187">
        <f t="shared" si="27"/>
        <v>28.382020152597402</v>
      </c>
      <c r="P90" s="188">
        <f t="shared" si="28"/>
        <v>217.59548783658008</v>
      </c>
      <c r="Q90" s="189"/>
      <c r="R90" s="187">
        <f>(F90*1.2*units!$B$36+G90*1.2*units!$D$36+H90*1.2*units!$E$36)+(F90*1.2*units!$B$32+G90*1.2*units!$D$32+H90*1.2*units!$E$32)+(units!$B$4*(F90*1.2*units!$B$24+G90*1.2*units!$D$24+H90*1.2*units!$E$24))</f>
        <v>43.941195428571426</v>
      </c>
      <c r="S90" s="187">
        <f>units!$F$9*(((F90*1.2/units!$B$20)*60)+((G90*1.2/units!$D$20)*60)+((H90*1.2/units!$E$20)*60))/60</f>
        <v>11.955357142857142</v>
      </c>
      <c r="T90" s="187">
        <f>units!$H$9*(((F90*1.2/units!$B$20)*60)+((G90*1.2/units!$D$20)*60)+((H90*1.2/units!$E$20)*60))/60</f>
        <v>33.766233766233775</v>
      </c>
      <c r="U90" s="187">
        <f t="shared" si="29"/>
        <v>22.415696584415585</v>
      </c>
      <c r="V90" s="187">
        <f t="shared" si="30"/>
        <v>16.81177243831169</v>
      </c>
      <c r="W90" s="188">
        <f t="shared" si="31"/>
        <v>128.8902553603896</v>
      </c>
      <c r="X90" s="189"/>
      <c r="Y90" s="187">
        <f>(units!$B$4*(units!$B$25*F90*1.2+units!$D$25*G90*1.2+units!$E$25*H90*1.2)+(F90*1.2*units!$B$33+G90*1.2*units!$D$33+H90*1.2*units!$E$33)+(F90*1.2*units!$B$37+G90*1.2*units!$D$37+H90*1.2*units!$E$37))</f>
        <v>17.325111</v>
      </c>
      <c r="Z90" s="187">
        <f>units!$F$10*(((F90*1.2/units!$B$21)*60)+((G90*1.2/units!$D$21)*60)+((H90*1.2/units!$E$21)*60))/60</f>
        <v>2.1712962962962967</v>
      </c>
      <c r="AA90" s="187">
        <f>units!$H$10*(((F90*1.2/units!$B$21)*60)+((G90*1.2/units!$D$21)*60)+((H90*1.2/units!$E$21)*60))/60</f>
        <v>21.885521885521886</v>
      </c>
      <c r="AB90" s="187">
        <f t="shared" si="32"/>
        <v>10.345482295454545</v>
      </c>
      <c r="AC90" s="187">
        <f t="shared" si="33"/>
        <v>7.759111721590909</v>
      </c>
      <c r="AD90" s="188">
        <f t="shared" si="34"/>
        <v>59.48652319886364</v>
      </c>
      <c r="AE90" s="190"/>
      <c r="AF90" s="188">
        <f>IF(E90=units!$N$8,P90,"")</f>
      </c>
      <c r="AG90" s="188">
        <f>IF(E90=units!$M$8,W90,"")</f>
      </c>
      <c r="AH90" s="188">
        <f>IF(E90=units!$L$8,AD90,"")</f>
        <v>59.48652319886364</v>
      </c>
      <c r="AI90" s="188">
        <f t="shared" si="35"/>
        <v>59.48652319886364</v>
      </c>
      <c r="AJ90" s="199">
        <v>2</v>
      </c>
      <c r="AK90" s="255">
        <f t="shared" si="36"/>
        <v>118.97304639772727</v>
      </c>
      <c r="AL90" s="256">
        <f t="shared" si="37"/>
        <v>20820.283119602274</v>
      </c>
      <c r="AM90" s="142"/>
      <c r="AN90" s="242"/>
      <c r="AO90" s="247"/>
    </row>
    <row r="91" spans="1:41" s="139" customFormat="1" ht="15.75">
      <c r="A91" s="294">
        <v>82</v>
      </c>
      <c r="B91" s="191" t="s">
        <v>267</v>
      </c>
      <c r="C91" s="231">
        <v>4</v>
      </c>
      <c r="D91" s="226" t="s">
        <v>180</v>
      </c>
      <c r="E91" s="192" t="str">
        <f>IF(ISNUMBER(C91),IF(C91&lt;=units!$L$7,units!$L$8,IF(C91&lt;=units!$N$7,units!$M$8,IF(C91&gt;units!$O$8,"OXI",units!$N$8))),"--")</f>
        <v>TAXI</v>
      </c>
      <c r="F91" s="183">
        <v>0</v>
      </c>
      <c r="G91" s="184">
        <v>0</v>
      </c>
      <c r="H91" s="185">
        <v>45</v>
      </c>
      <c r="I91" s="186">
        <f t="shared" si="25"/>
        <v>45</v>
      </c>
      <c r="J91" s="282"/>
      <c r="K91" s="277">
        <f>(units!$B$4*(F91*1.2*units!$B$23+G91*1.2*units!$D$23+H91*1.2*units!$E$23))+(F91*1.2*units!$B$31+G91*1.2*units!$D$31+H91*1.2*units!$E$31)+(F91*1.2*units!$B$35+G91*1.2*units!$D$35+H91*1.2*units!$E$35)</f>
        <v>68.92814334065933</v>
      </c>
      <c r="L91" s="187">
        <f>units!$F$8*((F91*1.2/units!$B$19)*60+((G91*1.2/units!$D$19)*60)+((H91*1.2/units!$E$19)*60))/60</f>
        <v>12.490384615384617</v>
      </c>
      <c r="M91" s="187">
        <f>units!$H$8*((F91*1.2/units!$B$19)*60+((G91*1.2/units!$D$19)*60)+((H91*1.2/units!$E$19)*60))/60</f>
        <v>23.376623376623378</v>
      </c>
      <c r="N91" s="187">
        <f t="shared" si="26"/>
        <v>26.198787833166833</v>
      </c>
      <c r="O91" s="187">
        <f t="shared" si="27"/>
        <v>19.64909087487512</v>
      </c>
      <c r="P91" s="188">
        <f t="shared" si="28"/>
        <v>150.64303004070928</v>
      </c>
      <c r="Q91" s="227"/>
      <c r="R91" s="187">
        <f>(F91*1.2*units!$B$36+G91*1.2*units!$D$36+H91*1.2*units!$E$36)+(F91*1.2*units!$B$32+G91*1.2*units!$D$32+H91*1.2*units!$E$32)+(units!$B$4*(F91*1.2*units!$B$24+G91*1.2*units!$D$24+H91*1.2*units!$E$24))</f>
        <v>30.420827604395605</v>
      </c>
      <c r="S91" s="187">
        <f>units!$F$9*(((F91*1.2/units!$B$20)*60)+((G91*1.2/units!$D$20)*60)+((H91*1.2/units!$E$20)*60))/60</f>
        <v>8.276785714285714</v>
      </c>
      <c r="T91" s="187">
        <f>units!$H$9*(((F91*1.2/units!$B$20)*60)+((G91*1.2/units!$D$20)*60)+((H91*1.2/units!$E$20)*60))/60</f>
        <v>23.376623376623378</v>
      </c>
      <c r="U91" s="187">
        <f t="shared" si="29"/>
        <v>15.518559173826175</v>
      </c>
      <c r="V91" s="187">
        <f t="shared" si="30"/>
        <v>11.63891938036963</v>
      </c>
      <c r="W91" s="228">
        <f t="shared" si="31"/>
        <v>89.2317152495005</v>
      </c>
      <c r="X91" s="227"/>
      <c r="Y91" s="187">
        <f>(units!$B$4*(units!$B$25*F91*1.2+units!$D$25*G91*1.2+units!$E$25*H91*1.2)+(F91*1.2*units!$B$33+G91*1.2*units!$D$33+H91*1.2*units!$E$33)+(F91*1.2*units!$B$37+G91*1.2*units!$D$37+H91*1.2*units!$E$37))</f>
        <v>11.994307615384614</v>
      </c>
      <c r="Z91" s="187">
        <f>units!$F$10*(((F91*1.2/units!$B$21)*60)+((G91*1.2/units!$D$21)*60)+((H91*1.2/units!$E$21)*60))/60</f>
        <v>1.5032051282051284</v>
      </c>
      <c r="AA91" s="187">
        <f>units!$H$10*(((F91*1.2/units!$B$21)*60)+((G91*1.2/units!$D$21)*60)+((H91*1.2/units!$E$21)*60))/60</f>
        <v>15.151515151515152</v>
      </c>
      <c r="AB91" s="187">
        <f t="shared" si="32"/>
        <v>7.162256973776223</v>
      </c>
      <c r="AC91" s="187">
        <f t="shared" si="33"/>
        <v>5.3716927303321675</v>
      </c>
      <c r="AD91" s="188">
        <f t="shared" si="34"/>
        <v>41.18297759921329</v>
      </c>
      <c r="AE91" s="229"/>
      <c r="AF91" s="188">
        <f>IF(E91=units!$N$8,P91,"")</f>
      </c>
      <c r="AG91" s="188">
        <f>IF(E91=units!$M$8,W91,"")</f>
      </c>
      <c r="AH91" s="188">
        <f>IF(E91=units!$L$8,AD91,"")</f>
        <v>41.18297759921329</v>
      </c>
      <c r="AI91" s="188">
        <f t="shared" si="35"/>
        <v>41.18297759921329</v>
      </c>
      <c r="AJ91" s="199">
        <v>4</v>
      </c>
      <c r="AK91" s="255">
        <f t="shared" si="36"/>
        <v>164.73191039685315</v>
      </c>
      <c r="AL91" s="256">
        <f t="shared" si="37"/>
        <v>28828.084319449303</v>
      </c>
      <c r="AM91" s="142"/>
      <c r="AN91" s="242"/>
      <c r="AO91" s="247"/>
    </row>
    <row r="92" spans="1:41" s="139" customFormat="1" ht="15.75">
      <c r="A92" s="294">
        <v>83</v>
      </c>
      <c r="B92" s="191" t="s">
        <v>268</v>
      </c>
      <c r="C92" s="231">
        <v>4</v>
      </c>
      <c r="D92" s="191" t="s">
        <v>128</v>
      </c>
      <c r="E92" s="192" t="str">
        <f>IF(ISNUMBER(C92),IF(C92&lt;=units!$L$7,units!$L$8,IF(C92&lt;=units!$N$7,units!$M$8,IF(C92&gt;units!$O$8,"OXI",units!$N$8))),"--")</f>
        <v>TAXI</v>
      </c>
      <c r="F92" s="183">
        <v>9</v>
      </c>
      <c r="G92" s="184">
        <v>0</v>
      </c>
      <c r="H92" s="185">
        <v>0</v>
      </c>
      <c r="I92" s="186">
        <f t="shared" si="25"/>
        <v>9</v>
      </c>
      <c r="J92" s="282"/>
      <c r="K92" s="277">
        <f>(units!$B$4*(F92*1.2*units!$B$23+G92*1.2*units!$D$23+H92*1.2*units!$E$23))+(F92*1.2*units!$B$31+G92*1.2*units!$D$31+H92*1.2*units!$E$31)+(F92*1.2*units!$B$35+G92*1.2*units!$D$35+H92*1.2*units!$E$35)</f>
        <v>13.98757929230769</v>
      </c>
      <c r="L92" s="187">
        <f>units!$F$8*((F92*1.2/units!$B$19)*60+((G92*1.2/units!$D$19)*60)+((H92*1.2/units!$E$19)*60))/60</f>
        <v>5.828846153846154</v>
      </c>
      <c r="M92" s="187">
        <f>units!$H$8*((F92*1.2/units!$B$19)*60+((G92*1.2/units!$D$19)*60)+((H92*1.2/units!$E$19)*60))/60</f>
        <v>10.909090909090908</v>
      </c>
      <c r="N92" s="187">
        <f t="shared" si="26"/>
        <v>7.6813790888111875</v>
      </c>
      <c r="O92" s="187">
        <f t="shared" si="27"/>
        <v>5.76103431660839</v>
      </c>
      <c r="P92" s="188">
        <f t="shared" si="28"/>
        <v>44.16792976066432</v>
      </c>
      <c r="Q92" s="189"/>
      <c r="R92" s="187">
        <f>(F92*1.2*units!$B$36+G92*1.2*units!$D$36+H92*1.2*units!$E$36)+(F92*1.2*units!$B$32+G92*1.2*units!$D$32+H92*1.2*units!$E$32)+(units!$B$4*(F92*1.2*units!$B$24+G92*1.2*units!$D$24+H92*1.2*units!$E$24))</f>
        <v>6.7979640461538455</v>
      </c>
      <c r="S92" s="187">
        <f>units!$F$9*(((F92*1.2/units!$B$20)*60)+((G92*1.2/units!$D$20)*60)+((H92*1.2/units!$E$20)*60))/60</f>
        <v>3.21875</v>
      </c>
      <c r="T92" s="187">
        <f>units!$H$9*(((F92*1.2/units!$B$20)*60)+((G92*1.2/units!$D$20)*60)+((H92*1.2/units!$E$20)*60))/60</f>
        <v>9.090909090909092</v>
      </c>
      <c r="U92" s="187">
        <f t="shared" si="29"/>
        <v>4.776905784265734</v>
      </c>
      <c r="V92" s="187">
        <f t="shared" si="30"/>
        <v>3.5826793381993007</v>
      </c>
      <c r="W92" s="188">
        <f t="shared" si="31"/>
        <v>27.467208259527975</v>
      </c>
      <c r="X92" s="189"/>
      <c r="Y92" s="187">
        <f>(units!$B$4*(units!$B$25*F92*1.2+units!$D$25*G92*1.2+units!$E$25*H92*1.2)+(F92*1.2*units!$B$33+G92*1.2*units!$D$33+H92*1.2*units!$E$33)+(F92*1.2*units!$B$37+G92*1.2*units!$D$37+H92*1.2*units!$E$37))</f>
        <v>2.3369332846153847</v>
      </c>
      <c r="Z92" s="187">
        <f>units!$F$10*(((F92*1.2/units!$B$21)*60)+((G92*1.2/units!$D$21)*60)+((H92*1.2/units!$E$21)*60))/60</f>
        <v>0.4509615384615385</v>
      </c>
      <c r="AA92" s="187">
        <f>units!$H$10*(((F92*1.2/units!$B$21)*60)+((G92*1.2/units!$D$21)*60)+((H92*1.2/units!$E$21)*60))/60</f>
        <v>4.545454545454545</v>
      </c>
      <c r="AB92" s="187">
        <f t="shared" si="32"/>
        <v>1.8333373421328671</v>
      </c>
      <c r="AC92" s="187">
        <f t="shared" si="33"/>
        <v>1.3750030065996504</v>
      </c>
      <c r="AD92" s="188">
        <f t="shared" si="34"/>
        <v>10.541689717263987</v>
      </c>
      <c r="AE92" s="190"/>
      <c r="AF92" s="188">
        <f>IF(E92=units!$N$8,P92,"")</f>
      </c>
      <c r="AG92" s="188">
        <f>IF(E92=units!$M$8,W92,"")</f>
      </c>
      <c r="AH92" s="188">
        <f>IF(E92=units!$L$8,AD92,"")</f>
        <v>10.541689717263987</v>
      </c>
      <c r="AI92" s="188">
        <f t="shared" si="35"/>
        <v>10.541689717263987</v>
      </c>
      <c r="AJ92" s="199">
        <v>4</v>
      </c>
      <c r="AK92" s="255">
        <f t="shared" si="36"/>
        <v>42.16675886905595</v>
      </c>
      <c r="AL92" s="256">
        <f t="shared" si="37"/>
        <v>7379.182802084791</v>
      </c>
      <c r="AM92" s="142"/>
      <c r="AN92" s="242"/>
      <c r="AO92" s="247"/>
    </row>
    <row r="93" spans="1:41" s="139" customFormat="1" ht="15.75">
      <c r="A93" s="294">
        <v>84</v>
      </c>
      <c r="B93" s="191" t="s">
        <v>174</v>
      </c>
      <c r="C93" s="182">
        <v>4</v>
      </c>
      <c r="D93" s="226" t="s">
        <v>181</v>
      </c>
      <c r="E93" s="192" t="str">
        <f>IF(ISNUMBER(C93),IF(C93&lt;=units!$L$7,units!$L$8,IF(C93&lt;=units!$N$7,units!$M$8,IF(C93&gt;units!$O$8,"OXI",units!$N$8))),"--")</f>
        <v>TAXI</v>
      </c>
      <c r="F93" s="183">
        <v>5</v>
      </c>
      <c r="G93" s="184">
        <v>0</v>
      </c>
      <c r="H93" s="185">
        <v>0</v>
      </c>
      <c r="I93" s="186">
        <f t="shared" si="25"/>
        <v>5</v>
      </c>
      <c r="J93" s="282"/>
      <c r="K93" s="277">
        <f>(units!$B$4*(F93*1.2*units!$B$23+G93*1.2*units!$D$23+H93*1.2*units!$E$23))+(F93*1.2*units!$B$31+G93*1.2*units!$D$31+H93*1.2*units!$E$31)+(F93*1.2*units!$B$35+G93*1.2*units!$D$35+H93*1.2*units!$E$35)</f>
        <v>7.7708773846153845</v>
      </c>
      <c r="L93" s="187">
        <f>units!$F$8*((F93*1.2/units!$B$19)*60+((G93*1.2/units!$D$19)*60)+((H93*1.2/units!$E$19)*60))/60</f>
        <v>3.2382478632478637</v>
      </c>
      <c r="M93" s="187">
        <f>units!$H$8*((F93*1.2/units!$B$19)*60+((G93*1.2/units!$D$19)*60)+((H93*1.2/units!$E$19)*60))/60</f>
        <v>6.0606060606060606</v>
      </c>
      <c r="N93" s="187">
        <f t="shared" si="26"/>
        <v>4.267432827117327</v>
      </c>
      <c r="O93" s="187">
        <f t="shared" si="27"/>
        <v>3.200574620337995</v>
      </c>
      <c r="P93" s="188">
        <f t="shared" si="28"/>
        <v>24.53773875592463</v>
      </c>
      <c r="Q93" s="227"/>
      <c r="R93" s="187">
        <f>(F93*1.2*units!$B$36+G93*1.2*units!$D$36+H93*1.2*units!$E$36)+(F93*1.2*units!$B$32+G93*1.2*units!$D$32+H93*1.2*units!$E$32)+(units!$B$4*(F93*1.2*units!$B$24+G93*1.2*units!$D$24+H93*1.2*units!$E$24))</f>
        <v>3.776646692307692</v>
      </c>
      <c r="S93" s="187">
        <f>units!$F$9*(((F93*1.2/units!$B$20)*60)+((G93*1.2/units!$D$20)*60)+((H93*1.2/units!$E$20)*60))/60</f>
        <v>1.7881944444444442</v>
      </c>
      <c r="T93" s="187">
        <f>units!$H$9*(((F93*1.2/units!$B$20)*60)+((G93*1.2/units!$D$20)*60)+((H93*1.2/units!$E$20)*60))/60</f>
        <v>5.050505050505051</v>
      </c>
      <c r="U93" s="187">
        <f t="shared" si="29"/>
        <v>2.653836546814297</v>
      </c>
      <c r="V93" s="187">
        <f t="shared" si="30"/>
        <v>1.9903774101107228</v>
      </c>
      <c r="W93" s="228">
        <f t="shared" si="31"/>
        <v>15.259560144182208</v>
      </c>
      <c r="X93" s="227"/>
      <c r="Y93" s="187">
        <f>(units!$B$4*(units!$B$25*F93*1.2+units!$D$25*G93*1.2+units!$E$25*H93*1.2)+(F93*1.2*units!$B$33+G93*1.2*units!$D$33+H93*1.2*units!$E$33)+(F93*1.2*units!$B$37+G93*1.2*units!$D$37+H93*1.2*units!$E$37))</f>
        <v>1.2982962692307691</v>
      </c>
      <c r="Z93" s="187">
        <f>units!$F$10*(((F93*1.2/units!$B$21)*60)+((G93*1.2/units!$D$21)*60)+((H93*1.2/units!$E$21)*60))/60</f>
        <v>0.2505341880341881</v>
      </c>
      <c r="AA93" s="187">
        <f>units!$H$10*(((F93*1.2/units!$B$21)*60)+((G93*1.2/units!$D$21)*60)+((H93*1.2/units!$E$21)*60))/60</f>
        <v>2.525252525252525</v>
      </c>
      <c r="AB93" s="187">
        <f t="shared" si="32"/>
        <v>1.0185207456293706</v>
      </c>
      <c r="AC93" s="187">
        <f t="shared" si="33"/>
        <v>0.7638905592220279</v>
      </c>
      <c r="AD93" s="188">
        <f t="shared" si="34"/>
        <v>5.85649428736888</v>
      </c>
      <c r="AE93" s="229"/>
      <c r="AF93" s="188">
        <f>IF(E93=units!$N$8,P93,"")</f>
      </c>
      <c r="AG93" s="188">
        <f>IF(E93=units!$M$8,W93,"")</f>
      </c>
      <c r="AH93" s="188">
        <f>IF(E93=units!$L$8,AD93,"")</f>
        <v>5.85649428736888</v>
      </c>
      <c r="AI93" s="188">
        <f t="shared" si="35"/>
        <v>5.85649428736888</v>
      </c>
      <c r="AJ93" s="199">
        <v>2</v>
      </c>
      <c r="AK93" s="255">
        <f t="shared" si="36"/>
        <v>11.71298857473776</v>
      </c>
      <c r="AL93" s="256">
        <f t="shared" si="37"/>
        <v>2049.773000579108</v>
      </c>
      <c r="AM93" s="142"/>
      <c r="AN93" s="242"/>
      <c r="AO93" s="247"/>
    </row>
    <row r="94" spans="1:41" s="139" customFormat="1" ht="15.75">
      <c r="A94" s="294">
        <v>85</v>
      </c>
      <c r="B94" s="191" t="s">
        <v>174</v>
      </c>
      <c r="C94" s="182">
        <v>2</v>
      </c>
      <c r="D94" s="191" t="s">
        <v>182</v>
      </c>
      <c r="E94" s="192" t="str">
        <f>IF(ISNUMBER(C94),IF(C94&lt;=units!$L$7,units!$L$8,IF(C94&lt;=units!$N$7,units!$M$8,IF(C94&gt;units!$O$8,"OXI",units!$N$8))),"--")</f>
        <v>TAXI</v>
      </c>
      <c r="F94" s="183">
        <v>3</v>
      </c>
      <c r="G94" s="184">
        <v>0</v>
      </c>
      <c r="H94" s="185">
        <v>18</v>
      </c>
      <c r="I94" s="186">
        <f t="shared" si="25"/>
        <v>21</v>
      </c>
      <c r="J94" s="282"/>
      <c r="K94" s="277">
        <f>(units!$B$4*(F94*1.2*units!$B$23+G94*1.2*units!$D$23+H94*1.2*units!$E$23))+(F94*1.2*units!$B$31+G94*1.2*units!$D$31+H94*1.2*units!$E$31)+(F94*1.2*units!$B$35+G94*1.2*units!$D$35+H94*1.2*units!$E$35)</f>
        <v>32.23378376703296</v>
      </c>
      <c r="L94" s="187">
        <f>units!$F$8*((F94*1.2/units!$B$19)*60+((G94*1.2/units!$D$19)*60)+((H94*1.2/units!$E$19)*60))/60</f>
        <v>6.939102564102565</v>
      </c>
      <c r="M94" s="187">
        <f>units!$H$8*((F94*1.2/units!$B$19)*60+((G94*1.2/units!$D$19)*60)+((H94*1.2/units!$E$19)*60))/60</f>
        <v>12.987012987012985</v>
      </c>
      <c r="N94" s="187">
        <f t="shared" si="26"/>
        <v>13.039974829537126</v>
      </c>
      <c r="O94" s="187">
        <f t="shared" si="27"/>
        <v>9.779981122152845</v>
      </c>
      <c r="P94" s="188">
        <f t="shared" si="28"/>
        <v>74.97985526983848</v>
      </c>
      <c r="Q94" s="189"/>
      <c r="R94" s="187">
        <f>(F94*1.2*units!$B$36+G94*1.2*units!$D$36+H94*1.2*units!$E$36)+(F94*1.2*units!$B$32+G94*1.2*units!$D$32+H94*1.2*units!$E$32)+(units!$B$4*(F94*1.2*units!$B$24+G94*1.2*units!$D$24+H94*1.2*units!$E$24))</f>
        <v>14.434319057142856</v>
      </c>
      <c r="S94" s="187">
        <f>units!$F$9*(((F94*1.2/units!$B$20)*60)+((G94*1.2/units!$D$20)*60)+((H94*1.2/units!$E$20)*60))/60</f>
        <v>4.383630952380952</v>
      </c>
      <c r="T94" s="187">
        <f>units!$H$9*(((F94*1.2/units!$B$20)*60)+((G94*1.2/units!$D$20)*60)+((H94*1.2/units!$E$20)*60))/60</f>
        <v>12.380952380952381</v>
      </c>
      <c r="U94" s="187">
        <f t="shared" si="29"/>
        <v>7.799725597619048</v>
      </c>
      <c r="V94" s="187">
        <f t="shared" si="30"/>
        <v>5.849794198214285</v>
      </c>
      <c r="W94" s="188">
        <f t="shared" si="31"/>
        <v>44.84842218630952</v>
      </c>
      <c r="X94" s="189"/>
      <c r="Y94" s="187">
        <f>(units!$B$4*(units!$B$25*F94*1.2+units!$D$25*G94*1.2+units!$E$25*H94*1.2)+(F94*1.2*units!$B$33+G94*1.2*units!$D$33+H94*1.2*units!$E$33)+(F94*1.2*units!$B$37+G94*1.2*units!$D$37+H94*1.2*units!$E$37))</f>
        <v>5.5767008076923075</v>
      </c>
      <c r="Z94" s="187">
        <f>units!$F$10*(((F94*1.2/units!$B$21)*60)+((G94*1.2/units!$D$21)*60)+((H94*1.2/units!$E$21)*60))/60</f>
        <v>0.7516025641025642</v>
      </c>
      <c r="AA94" s="187">
        <f>units!$H$10*(((F94*1.2/units!$B$21)*60)+((G94*1.2/units!$D$21)*60)+((H94*1.2/units!$E$21)*60))/60</f>
        <v>7.575757575757576</v>
      </c>
      <c r="AB94" s="187">
        <f t="shared" si="32"/>
        <v>3.476015236888112</v>
      </c>
      <c r="AC94" s="187">
        <f t="shared" si="33"/>
        <v>2.6070114276660843</v>
      </c>
      <c r="AD94" s="188">
        <f t="shared" si="34"/>
        <v>19.987087612106645</v>
      </c>
      <c r="AE94" s="190"/>
      <c r="AF94" s="188">
        <f>IF(E94=units!$N$8,P94,"")</f>
      </c>
      <c r="AG94" s="188">
        <f>IF(E94=units!$M$8,W94,"")</f>
      </c>
      <c r="AH94" s="188">
        <f>IF(E94=units!$L$8,AD94,"")</f>
        <v>19.987087612106645</v>
      </c>
      <c r="AI94" s="188">
        <f t="shared" si="35"/>
        <v>19.987087612106645</v>
      </c>
      <c r="AJ94" s="199">
        <v>2</v>
      </c>
      <c r="AK94" s="255">
        <f t="shared" si="36"/>
        <v>39.97417522421329</v>
      </c>
      <c r="AL94" s="256">
        <f t="shared" si="37"/>
        <v>6995.480664237326</v>
      </c>
      <c r="AM94" s="142"/>
      <c r="AN94" s="242"/>
      <c r="AO94" s="247"/>
    </row>
    <row r="95" spans="1:41" s="139" customFormat="1" ht="15.75">
      <c r="A95" s="294">
        <v>86</v>
      </c>
      <c r="B95" s="191" t="s">
        <v>174</v>
      </c>
      <c r="C95" s="182">
        <v>2</v>
      </c>
      <c r="D95" s="191" t="s">
        <v>183</v>
      </c>
      <c r="E95" s="192" t="str">
        <f>IF(ISNUMBER(C95),IF(C95&lt;=units!$L$7,units!$L$8,IF(C95&lt;=units!$N$7,units!$M$8,IF(C95&gt;units!$O$8,"OXI",units!$N$8))),"--")</f>
        <v>TAXI</v>
      </c>
      <c r="F95" s="183">
        <v>0</v>
      </c>
      <c r="G95" s="184">
        <v>0</v>
      </c>
      <c r="H95" s="185">
        <v>10</v>
      </c>
      <c r="I95" s="186">
        <f t="shared" si="25"/>
        <v>10</v>
      </c>
      <c r="J95" s="282"/>
      <c r="K95" s="277">
        <f>(units!$B$4*(F95*1.2*units!$B$23+G95*1.2*units!$D$23+H95*1.2*units!$E$23))+(F95*1.2*units!$B$31+G95*1.2*units!$D$31+H95*1.2*units!$E$31)+(F95*1.2*units!$B$35+G95*1.2*units!$D$35+H95*1.2*units!$E$35)</f>
        <v>15.317365186813188</v>
      </c>
      <c r="L95" s="187">
        <f>units!$F$8*((F95*1.2/units!$B$19)*60+((G95*1.2/units!$D$19)*60)+((H95*1.2/units!$E$19)*60))/60</f>
        <v>2.7756410256410264</v>
      </c>
      <c r="M95" s="187">
        <f>units!$H$8*((F95*1.2/units!$B$19)*60+((G95*1.2/units!$D$19)*60)+((H95*1.2/units!$E$19)*60))/60</f>
        <v>5.194805194805196</v>
      </c>
      <c r="N95" s="187">
        <f t="shared" si="26"/>
        <v>5.821952851814852</v>
      </c>
      <c r="O95" s="187">
        <f t="shared" si="27"/>
        <v>4.366464638861139</v>
      </c>
      <c r="P95" s="188">
        <f t="shared" si="28"/>
        <v>33.4762288979354</v>
      </c>
      <c r="Q95" s="189"/>
      <c r="R95" s="187">
        <f>(F95*1.2*units!$B$36+G95*1.2*units!$D$36+H95*1.2*units!$E$36)+(F95*1.2*units!$B$32+G95*1.2*units!$D$32+H95*1.2*units!$E$32)+(units!$B$4*(F95*1.2*units!$B$24+G95*1.2*units!$D$24+H95*1.2*units!$E$24))</f>
        <v>6.760183912087912</v>
      </c>
      <c r="S95" s="187">
        <f>units!$F$9*(((F95*1.2/units!$B$20)*60)+((G95*1.2/units!$D$20)*60)+((H95*1.2/units!$E$20)*60))/60</f>
        <v>1.8392857142857144</v>
      </c>
      <c r="T95" s="187">
        <f>units!$H$9*(((F95*1.2/units!$B$20)*60)+((G95*1.2/units!$D$20)*60)+((H95*1.2/units!$E$20)*60))/60</f>
        <v>5.194805194805196</v>
      </c>
      <c r="U95" s="187">
        <f t="shared" si="29"/>
        <v>3.448568705294705</v>
      </c>
      <c r="V95" s="187">
        <f t="shared" si="30"/>
        <v>2.5864265289710286</v>
      </c>
      <c r="W95" s="188">
        <f t="shared" si="31"/>
        <v>19.829270055444553</v>
      </c>
      <c r="X95" s="189"/>
      <c r="Y95" s="187">
        <f>(units!$B$4*(units!$B$25*F95*1.2+units!$D$25*G95*1.2+units!$E$25*H95*1.2)+(F95*1.2*units!$B$33+G95*1.2*units!$D$33+H95*1.2*units!$E$33)+(F95*1.2*units!$B$37+G95*1.2*units!$D$37+H95*1.2*units!$E$37))</f>
        <v>2.665401692307692</v>
      </c>
      <c r="Z95" s="187">
        <f>units!$F$10*(((F95*1.2/units!$B$21)*60)+((G95*1.2/units!$D$21)*60)+((H95*1.2/units!$E$21)*60))/60</f>
        <v>0.3340455840455841</v>
      </c>
      <c r="AA95" s="187">
        <f>units!$H$10*(((F95*1.2/units!$B$21)*60)+((G95*1.2/units!$D$21)*60)+((H95*1.2/units!$E$21)*60))/60</f>
        <v>3.367003367003367</v>
      </c>
      <c r="AB95" s="187">
        <f t="shared" si="32"/>
        <v>1.5916126608391608</v>
      </c>
      <c r="AC95" s="187">
        <f t="shared" si="33"/>
        <v>1.1937094956293706</v>
      </c>
      <c r="AD95" s="188">
        <f t="shared" si="34"/>
        <v>9.151772799825174</v>
      </c>
      <c r="AE95" s="190"/>
      <c r="AF95" s="188">
        <f>IF(E95=units!$N$8,P95,"")</f>
      </c>
      <c r="AG95" s="188">
        <f>IF(E95=units!$M$8,W95,"")</f>
      </c>
      <c r="AH95" s="188">
        <f>IF(E95=units!$L$8,AD95,"")</f>
        <v>9.151772799825174</v>
      </c>
      <c r="AI95" s="188">
        <f t="shared" si="35"/>
        <v>9.151772799825174</v>
      </c>
      <c r="AJ95" s="199">
        <v>2</v>
      </c>
      <c r="AK95" s="255">
        <f t="shared" si="36"/>
        <v>18.30354559965035</v>
      </c>
      <c r="AL95" s="256">
        <f t="shared" si="37"/>
        <v>3203.120479938811</v>
      </c>
      <c r="AM95" s="142"/>
      <c r="AN95" s="242"/>
      <c r="AO95" s="247"/>
    </row>
    <row r="96" spans="1:41" s="139" customFormat="1" ht="15.75">
      <c r="A96" s="294">
        <v>87</v>
      </c>
      <c r="B96" s="191" t="s">
        <v>174</v>
      </c>
      <c r="C96" s="182">
        <v>3</v>
      </c>
      <c r="D96" s="191" t="s">
        <v>184</v>
      </c>
      <c r="E96" s="192" t="str">
        <f>IF(ISNUMBER(C96),IF(C96&lt;=units!$L$7,units!$L$8,IF(C96&lt;=units!$N$7,units!$M$8,IF(C96&gt;units!$O$8,"OXI",units!$N$8))),"--")</f>
        <v>TAXI</v>
      </c>
      <c r="F96" s="183">
        <v>0</v>
      </c>
      <c r="G96" s="184">
        <v>0</v>
      </c>
      <c r="H96" s="185">
        <v>60</v>
      </c>
      <c r="I96" s="186">
        <f t="shared" si="25"/>
        <v>60</v>
      </c>
      <c r="J96" s="282"/>
      <c r="K96" s="277">
        <f>(units!$B$4*(F96*1.2*units!$B$23+G96*1.2*units!$D$23+H96*1.2*units!$E$23))+(F96*1.2*units!$B$31+G96*1.2*units!$D$31+H96*1.2*units!$E$31)+(F96*1.2*units!$B$35+G96*1.2*units!$D$35+H96*1.2*units!$E$35)</f>
        <v>91.90419112087913</v>
      </c>
      <c r="L96" s="187">
        <f>units!$F$8*((F96*1.2/units!$B$19)*60+((G96*1.2/units!$D$19)*60)+((H96*1.2/units!$E$19)*60))/60</f>
        <v>16.653846153846153</v>
      </c>
      <c r="M96" s="187">
        <f>units!$H$8*((F96*1.2/units!$B$19)*60+((G96*1.2/units!$D$19)*60)+((H96*1.2/units!$E$19)*60))/60</f>
        <v>31.16883116883117</v>
      </c>
      <c r="N96" s="187">
        <f t="shared" si="26"/>
        <v>34.93171711088911</v>
      </c>
      <c r="O96" s="187">
        <f t="shared" si="27"/>
        <v>26.198787833166833</v>
      </c>
      <c r="P96" s="188">
        <f t="shared" si="28"/>
        <v>200.85737338761237</v>
      </c>
      <c r="Q96" s="189"/>
      <c r="R96" s="187">
        <f>(F96*1.2*units!$B$36+G96*1.2*units!$D$36+H96*1.2*units!$E$36)+(F96*1.2*units!$B$32+G96*1.2*units!$D$32+H96*1.2*units!$E$32)+(units!$B$4*(F96*1.2*units!$B$24+G96*1.2*units!$D$24+H96*1.2*units!$E$24))</f>
        <v>40.56110347252748</v>
      </c>
      <c r="S96" s="187">
        <f>units!$F$9*(((F96*1.2/units!$B$20)*60)+((G96*1.2/units!$D$20)*60)+((H96*1.2/units!$E$20)*60))/60</f>
        <v>11.035714285714283</v>
      </c>
      <c r="T96" s="187">
        <f>units!$H$9*(((F96*1.2/units!$B$20)*60)+((G96*1.2/units!$D$20)*60)+((H96*1.2/units!$E$20)*60))/60</f>
        <v>31.16883116883117</v>
      </c>
      <c r="U96" s="187">
        <f t="shared" si="29"/>
        <v>20.691412231768233</v>
      </c>
      <c r="V96" s="187">
        <f t="shared" si="30"/>
        <v>15.518559173826173</v>
      </c>
      <c r="W96" s="188">
        <f t="shared" si="31"/>
        <v>118.97562033266733</v>
      </c>
      <c r="X96" s="189"/>
      <c r="Y96" s="187">
        <f>(units!$B$4*(units!$B$25*F96*1.2+units!$D$25*G96*1.2+units!$E$25*H96*1.2)+(F96*1.2*units!$B$33+G96*1.2*units!$D$33+H96*1.2*units!$E$33)+(F96*1.2*units!$B$37+G96*1.2*units!$D$37+H96*1.2*units!$E$37))</f>
        <v>15.992410153846153</v>
      </c>
      <c r="Z96" s="187">
        <f>units!$F$10*(((F96*1.2/units!$B$21)*60)+((G96*1.2/units!$D$21)*60)+((H96*1.2/units!$E$21)*60))/60</f>
        <v>2.0042735042735047</v>
      </c>
      <c r="AA96" s="187">
        <f>units!$H$10*(((F96*1.2/units!$B$21)*60)+((G96*1.2/units!$D$21)*60)+((H96*1.2/units!$E$21)*60))/60</f>
        <v>20.2020202020202</v>
      </c>
      <c r="AB96" s="187">
        <f t="shared" si="32"/>
        <v>9.549675965034965</v>
      </c>
      <c r="AC96" s="187">
        <f t="shared" si="33"/>
        <v>7.162256973776223</v>
      </c>
      <c r="AD96" s="188">
        <f t="shared" si="34"/>
        <v>54.910636798951046</v>
      </c>
      <c r="AE96" s="190"/>
      <c r="AF96" s="188">
        <f>IF(E96=units!$N$8,P96,"")</f>
      </c>
      <c r="AG96" s="188">
        <f>IF(E96=units!$M$8,W96,"")</f>
      </c>
      <c r="AH96" s="188">
        <f>IF(E96=units!$L$8,AD96,"")</f>
        <v>54.910636798951046</v>
      </c>
      <c r="AI96" s="188">
        <f t="shared" si="35"/>
        <v>54.910636798951046</v>
      </c>
      <c r="AJ96" s="199">
        <v>2</v>
      </c>
      <c r="AK96" s="255">
        <f t="shared" si="36"/>
        <v>109.82127359790209</v>
      </c>
      <c r="AL96" s="256">
        <f t="shared" si="37"/>
        <v>19218.722879632867</v>
      </c>
      <c r="AM96" s="142"/>
      <c r="AN96" s="242"/>
      <c r="AO96" s="247"/>
    </row>
    <row r="97" spans="1:41" s="139" customFormat="1" ht="15.75">
      <c r="A97" s="294">
        <v>88</v>
      </c>
      <c r="B97" s="191" t="s">
        <v>228</v>
      </c>
      <c r="C97" s="182">
        <v>4</v>
      </c>
      <c r="D97" s="191" t="s">
        <v>186</v>
      </c>
      <c r="E97" s="192" t="str">
        <f>IF(ISNUMBER(C97),IF(C97&lt;=units!$L$7,units!$L$8,IF(C97&lt;=units!$N$7,units!$M$8,IF(C97&gt;units!$O$8,"OXI",units!$N$8))),"--")</f>
        <v>TAXI</v>
      </c>
      <c r="F97" s="183">
        <v>7</v>
      </c>
      <c r="G97" s="184">
        <v>0</v>
      </c>
      <c r="H97" s="185">
        <v>0</v>
      </c>
      <c r="I97" s="186">
        <f t="shared" si="25"/>
        <v>7</v>
      </c>
      <c r="J97" s="282"/>
      <c r="K97" s="277">
        <f>(units!$B$4*(F97*1.2*units!$B$23+G97*1.2*units!$D$23+H97*1.2*units!$E$23))+(F97*1.2*units!$B$31+G97*1.2*units!$D$31+H97*1.2*units!$E$31)+(F97*1.2*units!$B$35+G97*1.2*units!$D$35+H97*1.2*units!$E$35)</f>
        <v>10.87922833846154</v>
      </c>
      <c r="L97" s="187">
        <f>units!$F$8*((F97*1.2/units!$B$19)*60+((G97*1.2/units!$D$19)*60)+((H97*1.2/units!$E$19)*60))/60</f>
        <v>4.533547008547009</v>
      </c>
      <c r="M97" s="187">
        <f>units!$H$8*((F97*1.2/units!$B$19)*60+((G97*1.2/units!$D$19)*60)+((H97*1.2/units!$E$19)*60))/60</f>
        <v>8.484848484848486</v>
      </c>
      <c r="N97" s="187">
        <f t="shared" si="26"/>
        <v>5.974405957964258</v>
      </c>
      <c r="O97" s="187">
        <f t="shared" si="27"/>
        <v>4.480804468473194</v>
      </c>
      <c r="P97" s="188">
        <f t="shared" si="28"/>
        <v>34.352834258294486</v>
      </c>
      <c r="Q97" s="189"/>
      <c r="R97" s="187">
        <f>(F97*1.2*units!$B$36+G97*1.2*units!$D$36+H97*1.2*units!$E$36)+(F97*1.2*units!$B$32+G97*1.2*units!$D$32+H97*1.2*units!$E$32)+(units!$B$4*(F97*1.2*units!$B$24+G97*1.2*units!$D$24+H97*1.2*units!$E$24))</f>
        <v>5.287305369230769</v>
      </c>
      <c r="S97" s="187">
        <f>units!$F$9*(((F97*1.2/units!$B$20)*60)+((G97*1.2/units!$D$20)*60)+((H97*1.2/units!$E$20)*60))/60</f>
        <v>2.503472222222222</v>
      </c>
      <c r="T97" s="187">
        <f>units!$H$9*(((F97*1.2/units!$B$20)*60)+((G97*1.2/units!$D$20)*60)+((H97*1.2/units!$E$20)*60))/60</f>
        <v>7.070707070707071</v>
      </c>
      <c r="U97" s="187">
        <f t="shared" si="29"/>
        <v>3.7153711655400157</v>
      </c>
      <c r="V97" s="187">
        <f t="shared" si="30"/>
        <v>2.786528374155012</v>
      </c>
      <c r="W97" s="188">
        <f t="shared" si="31"/>
        <v>21.36338420185509</v>
      </c>
      <c r="X97" s="189"/>
      <c r="Y97" s="187">
        <f>(units!$B$4*(units!$B$25*F97*1.2+units!$D$25*G97*1.2+units!$E$25*H97*1.2)+(F97*1.2*units!$B$33+G97*1.2*units!$D$33+H97*1.2*units!$E$33)+(F97*1.2*units!$B$37+G97*1.2*units!$D$37+H97*1.2*units!$E$37))</f>
        <v>1.8176147769230768</v>
      </c>
      <c r="Z97" s="187">
        <f>units!$F$10*(((F97*1.2/units!$B$21)*60)+((G97*1.2/units!$D$21)*60)+((H97*1.2/units!$E$21)*60))/60</f>
        <v>0.35074786324786333</v>
      </c>
      <c r="AA97" s="187">
        <f>units!$H$10*(((F97*1.2/units!$B$21)*60)+((G97*1.2/units!$D$21)*60)+((H97*1.2/units!$E$21)*60))/60</f>
        <v>3.5353535353535355</v>
      </c>
      <c r="AB97" s="187">
        <f t="shared" si="32"/>
        <v>1.425929043881119</v>
      </c>
      <c r="AC97" s="187">
        <f t="shared" si="33"/>
        <v>1.0694467829108392</v>
      </c>
      <c r="AD97" s="188">
        <f t="shared" si="34"/>
        <v>8.199092002316434</v>
      </c>
      <c r="AE97" s="190"/>
      <c r="AF97" s="188">
        <f>IF(E97=units!$N$8,P97,"")</f>
      </c>
      <c r="AG97" s="188">
        <f>IF(E97=units!$M$8,W97,"")</f>
      </c>
      <c r="AH97" s="188">
        <f>IF(E97=units!$L$8,AD97,"")</f>
        <v>8.199092002316434</v>
      </c>
      <c r="AI97" s="188">
        <f t="shared" si="35"/>
        <v>8.199092002316434</v>
      </c>
      <c r="AJ97" s="199">
        <v>8</v>
      </c>
      <c r="AK97" s="255">
        <f t="shared" si="36"/>
        <v>65.59273601853147</v>
      </c>
      <c r="AL97" s="256">
        <f t="shared" si="37"/>
        <v>11478.728803243008</v>
      </c>
      <c r="AM97" s="142"/>
      <c r="AN97" s="242"/>
      <c r="AO97" s="247"/>
    </row>
    <row r="98" spans="1:41" s="139" customFormat="1" ht="45">
      <c r="A98" s="294">
        <v>89</v>
      </c>
      <c r="B98" s="191" t="s">
        <v>269</v>
      </c>
      <c r="C98" s="182">
        <v>22</v>
      </c>
      <c r="D98" s="191" t="s">
        <v>270</v>
      </c>
      <c r="E98" s="192" t="str">
        <f>IF(ISNUMBER(C98),IF(C98&lt;=units!$L$7,units!$L$8,IF(C98&lt;=units!$N$7,units!$M$8,IF(C98&gt;units!$O$8,"OXI",units!$N$8))),"--")</f>
        <v>BUS</v>
      </c>
      <c r="F98" s="183">
        <v>10</v>
      </c>
      <c r="G98" s="184">
        <v>0</v>
      </c>
      <c r="H98" s="185">
        <v>0</v>
      </c>
      <c r="I98" s="186">
        <f t="shared" si="25"/>
        <v>10</v>
      </c>
      <c r="J98" s="282"/>
      <c r="K98" s="277">
        <f>(units!$B$4*(F98*1.2*units!$B$23+G98*1.2*units!$D$23+H98*1.2*units!$E$23))+(F98*1.2*units!$B$31+G98*1.2*units!$D$31+H98*1.2*units!$E$31)+(F98*1.2*units!$B$35+G98*1.2*units!$D$35+H98*1.2*units!$E$35)</f>
        <v>15.541754769230769</v>
      </c>
      <c r="L98" s="187">
        <f>units!$F$8*((F98*1.2/units!$B$19)*60+((G98*1.2/units!$D$19)*60)+((H98*1.2/units!$E$19)*60))/60</f>
        <v>6.4764957264957275</v>
      </c>
      <c r="M98" s="187">
        <f>units!$H$8*((F98*1.2/units!$B$19)*60+((G98*1.2/units!$D$19)*60)+((H98*1.2/units!$E$19)*60))/60</f>
        <v>12.121212121212121</v>
      </c>
      <c r="N98" s="187">
        <f t="shared" si="26"/>
        <v>8.534865654234654</v>
      </c>
      <c r="O98" s="187">
        <f t="shared" si="27"/>
        <v>6.40114924067599</v>
      </c>
      <c r="P98" s="188">
        <f t="shared" si="28"/>
        <v>49.07547751184926</v>
      </c>
      <c r="Q98" s="189"/>
      <c r="R98" s="187">
        <f>(F98*1.2*units!$B$36+G98*1.2*units!$D$36+H98*1.2*units!$E$36)+(F98*1.2*units!$B$32+G98*1.2*units!$D$32+H98*1.2*units!$E$32)+(units!$B$4*(F98*1.2*units!$B$24+G98*1.2*units!$D$24+H98*1.2*units!$E$24))</f>
        <v>7.553293384615384</v>
      </c>
      <c r="S98" s="187">
        <f>units!$F$9*(((F98*1.2/units!$B$20)*60)+((G98*1.2/units!$D$20)*60)+((H98*1.2/units!$E$20)*60))/60</f>
        <v>3.5763888888888884</v>
      </c>
      <c r="T98" s="187">
        <f>units!$H$9*(((F98*1.2/units!$B$20)*60)+((G98*1.2/units!$D$20)*60)+((H98*1.2/units!$E$20)*60))/60</f>
        <v>10.101010101010102</v>
      </c>
      <c r="U98" s="187">
        <f t="shared" si="29"/>
        <v>5.307673093628594</v>
      </c>
      <c r="V98" s="187">
        <f t="shared" si="30"/>
        <v>3.9807548202214456</v>
      </c>
      <c r="W98" s="188">
        <f t="shared" si="31"/>
        <v>30.519120288364416</v>
      </c>
      <c r="X98" s="189"/>
      <c r="Y98" s="187">
        <f>(units!$B$4*(units!$B$25*F98*1.2+units!$D$25*G98*1.2+units!$E$25*H98*1.2)+(F98*1.2*units!$B$33+G98*1.2*units!$D$33+H98*1.2*units!$E$33)+(F98*1.2*units!$B$37+G98*1.2*units!$D$37+H98*1.2*units!$E$37))</f>
        <v>2.5965925384615383</v>
      </c>
      <c r="Z98" s="187">
        <f>units!$F$10*(((F98*1.2/units!$B$21)*60)+((G98*1.2/units!$D$21)*60)+((H98*1.2/units!$E$21)*60))/60</f>
        <v>0.5010683760683762</v>
      </c>
      <c r="AA98" s="187">
        <f>units!$H$10*(((F98*1.2/units!$B$21)*60)+((G98*1.2/units!$D$21)*60)+((H98*1.2/units!$E$21)*60))/60</f>
        <v>5.05050505050505</v>
      </c>
      <c r="AB98" s="187">
        <f t="shared" si="32"/>
        <v>2.037041491258741</v>
      </c>
      <c r="AC98" s="187">
        <f t="shared" si="33"/>
        <v>1.5277811184440557</v>
      </c>
      <c r="AD98" s="188">
        <f t="shared" si="34"/>
        <v>11.71298857473776</v>
      </c>
      <c r="AE98" s="190"/>
      <c r="AF98" s="188">
        <f>IF(E98=units!$N$8,P98,"")</f>
        <v>49.07547751184926</v>
      </c>
      <c r="AG98" s="188">
        <f>IF(E98=units!$M$8,W98,"")</f>
      </c>
      <c r="AH98" s="188">
        <f>IF(E98=units!$L$8,AD98,"")</f>
      </c>
      <c r="AI98" s="188">
        <f t="shared" si="35"/>
        <v>49.07547751184926</v>
      </c>
      <c r="AJ98" s="199">
        <v>2</v>
      </c>
      <c r="AK98" s="255">
        <f t="shared" si="36"/>
        <v>98.15095502369851</v>
      </c>
      <c r="AL98" s="256">
        <f t="shared" si="37"/>
        <v>17176.41712914724</v>
      </c>
      <c r="AM98" s="142"/>
      <c r="AN98" s="242"/>
      <c r="AO98" s="247"/>
    </row>
    <row r="99" spans="1:41" s="139" customFormat="1" ht="30">
      <c r="A99" s="294">
        <v>90</v>
      </c>
      <c r="B99" s="191" t="s">
        <v>271</v>
      </c>
      <c r="C99" s="231">
        <v>4</v>
      </c>
      <c r="D99" s="191" t="s">
        <v>187</v>
      </c>
      <c r="E99" s="192" t="str">
        <f>IF(ISNUMBER(C99),IF(C99&lt;=units!$L$7,units!$L$8,IF(C99&lt;=units!$N$7,units!$M$8,IF(C99&gt;units!$O$8,"OXI",units!$N$8))),"--")</f>
        <v>TAXI</v>
      </c>
      <c r="F99" s="183">
        <v>10</v>
      </c>
      <c r="G99" s="184">
        <v>0</v>
      </c>
      <c r="H99" s="185">
        <v>0</v>
      </c>
      <c r="I99" s="186">
        <f t="shared" si="25"/>
        <v>10</v>
      </c>
      <c r="J99" s="282"/>
      <c r="K99" s="277">
        <f>(units!$B$4*(F99*1.2*units!$B$23+G99*1.2*units!$D$23+H99*1.2*units!$E$23))+(F99*1.2*units!$B$31+G99*1.2*units!$D$31+H99*1.2*units!$E$31)+(F99*1.2*units!$B$35+G99*1.2*units!$D$35+H99*1.2*units!$E$35)</f>
        <v>15.541754769230769</v>
      </c>
      <c r="L99" s="187">
        <f>units!$F$8*((F99*1.2/units!$B$19)*60+((G99*1.2/units!$D$19)*60)+((H99*1.2/units!$E$19)*60))/60</f>
        <v>6.4764957264957275</v>
      </c>
      <c r="M99" s="187">
        <f>units!$H$8*((F99*1.2/units!$B$19)*60+((G99*1.2/units!$D$19)*60)+((H99*1.2/units!$E$19)*60))/60</f>
        <v>12.121212121212121</v>
      </c>
      <c r="N99" s="187">
        <f t="shared" si="26"/>
        <v>8.534865654234654</v>
      </c>
      <c r="O99" s="187">
        <f t="shared" si="27"/>
        <v>6.40114924067599</v>
      </c>
      <c r="P99" s="188">
        <f t="shared" si="28"/>
        <v>49.07547751184926</v>
      </c>
      <c r="Q99" s="189"/>
      <c r="R99" s="187">
        <f>(F99*1.2*units!$B$36+G99*1.2*units!$D$36+H99*1.2*units!$E$36)+(F99*1.2*units!$B$32+G99*1.2*units!$D$32+H99*1.2*units!$E$32)+(units!$B$4*(F99*1.2*units!$B$24+G99*1.2*units!$D$24+H99*1.2*units!$E$24))</f>
        <v>7.553293384615384</v>
      </c>
      <c r="S99" s="187">
        <f>units!$F$9*(((F99*1.2/units!$B$20)*60)+((G99*1.2/units!$D$20)*60)+((H99*1.2/units!$E$20)*60))/60</f>
        <v>3.5763888888888884</v>
      </c>
      <c r="T99" s="187">
        <f>units!$H$9*(((F99*1.2/units!$B$20)*60)+((G99*1.2/units!$D$20)*60)+((H99*1.2/units!$E$20)*60))/60</f>
        <v>10.101010101010102</v>
      </c>
      <c r="U99" s="187">
        <f t="shared" si="29"/>
        <v>5.307673093628594</v>
      </c>
      <c r="V99" s="187">
        <f t="shared" si="30"/>
        <v>3.9807548202214456</v>
      </c>
      <c r="W99" s="188">
        <f t="shared" si="31"/>
        <v>30.519120288364416</v>
      </c>
      <c r="X99" s="189"/>
      <c r="Y99" s="187">
        <f>(units!$B$4*(units!$B$25*F99*1.2+units!$D$25*G99*1.2+units!$E$25*H99*1.2)+(F99*1.2*units!$B$33+G99*1.2*units!$D$33+H99*1.2*units!$E$33)+(F99*1.2*units!$B$37+G99*1.2*units!$D$37+H99*1.2*units!$E$37))</f>
        <v>2.5965925384615383</v>
      </c>
      <c r="Z99" s="187">
        <f>units!$F$10*(((F99*1.2/units!$B$21)*60)+((G99*1.2/units!$D$21)*60)+((H99*1.2/units!$E$21)*60))/60</f>
        <v>0.5010683760683762</v>
      </c>
      <c r="AA99" s="187">
        <f>units!$H$10*(((F99*1.2/units!$B$21)*60)+((G99*1.2/units!$D$21)*60)+((H99*1.2/units!$E$21)*60))/60</f>
        <v>5.05050505050505</v>
      </c>
      <c r="AB99" s="187">
        <f t="shared" si="32"/>
        <v>2.037041491258741</v>
      </c>
      <c r="AC99" s="187">
        <f t="shared" si="33"/>
        <v>1.5277811184440557</v>
      </c>
      <c r="AD99" s="188">
        <f t="shared" si="34"/>
        <v>11.71298857473776</v>
      </c>
      <c r="AE99" s="190"/>
      <c r="AF99" s="188">
        <f>IF(E99=units!$N$8,P99,"")</f>
      </c>
      <c r="AG99" s="188">
        <f>IF(E99=units!$M$8,W99,"")</f>
      </c>
      <c r="AH99" s="188">
        <f>IF(E99=units!$L$8,AD99,"")</f>
        <v>11.71298857473776</v>
      </c>
      <c r="AI99" s="188">
        <f t="shared" si="35"/>
        <v>11.71298857473776</v>
      </c>
      <c r="AJ99" s="199">
        <v>10</v>
      </c>
      <c r="AK99" s="255">
        <f t="shared" si="36"/>
        <v>117.12988574737761</v>
      </c>
      <c r="AL99" s="256">
        <f t="shared" si="37"/>
        <v>20497.730005791083</v>
      </c>
      <c r="AM99" s="142"/>
      <c r="AN99" s="242"/>
      <c r="AO99" s="247"/>
    </row>
    <row r="100" spans="1:41" s="139" customFormat="1" ht="15.75">
      <c r="A100" s="294">
        <v>91</v>
      </c>
      <c r="B100" s="191" t="s">
        <v>192</v>
      </c>
      <c r="C100" s="182">
        <v>3</v>
      </c>
      <c r="D100" s="191" t="s">
        <v>272</v>
      </c>
      <c r="E100" s="192" t="str">
        <f>IF(ISNUMBER(C100),IF(C100&lt;=units!$L$7,units!$L$8,IF(C100&lt;=units!$N$7,units!$M$8,IF(C100&gt;units!$O$8,"OXI",units!$N$8))),"--")</f>
        <v>TAXI</v>
      </c>
      <c r="F100" s="183">
        <v>0</v>
      </c>
      <c r="G100" s="184">
        <v>0</v>
      </c>
      <c r="H100" s="185">
        <v>40</v>
      </c>
      <c r="I100" s="186">
        <f t="shared" si="25"/>
        <v>40</v>
      </c>
      <c r="J100" s="282"/>
      <c r="K100" s="277">
        <f>(units!$B$4*(F100*1.2*units!$B$23+G100*1.2*units!$D$23+H100*1.2*units!$E$23))+(F100*1.2*units!$B$31+G100*1.2*units!$D$31+H100*1.2*units!$E$31)+(F100*1.2*units!$B$35+G100*1.2*units!$D$35+H100*1.2*units!$E$35)</f>
        <v>61.26946074725275</v>
      </c>
      <c r="L100" s="187">
        <f>units!$F$8*((F100*1.2/units!$B$19)*60+((G100*1.2/units!$D$19)*60)+((H100*1.2/units!$E$19)*60))/60</f>
        <v>11.102564102564106</v>
      </c>
      <c r="M100" s="187">
        <f>units!$H$8*((F100*1.2/units!$B$19)*60+((G100*1.2/units!$D$19)*60)+((H100*1.2/units!$E$19)*60))/60</f>
        <v>20.779220779220783</v>
      </c>
      <c r="N100" s="187">
        <f t="shared" si="26"/>
        <v>23.287811407259408</v>
      </c>
      <c r="O100" s="187">
        <f t="shared" si="27"/>
        <v>17.465858555444555</v>
      </c>
      <c r="P100" s="188">
        <f t="shared" si="28"/>
        <v>133.9049155917416</v>
      </c>
      <c r="Q100" s="189"/>
      <c r="R100" s="187">
        <f>(F100*1.2*units!$B$36+G100*1.2*units!$D$36+H100*1.2*units!$E$36)+(F100*1.2*units!$B$32+G100*1.2*units!$D$32+H100*1.2*units!$E$32)+(units!$B$4*(F100*1.2*units!$B$24+G100*1.2*units!$D$24+H100*1.2*units!$E$24))</f>
        <v>27.04073564835165</v>
      </c>
      <c r="S100" s="187">
        <f>units!$F$9*(((F100*1.2/units!$B$20)*60)+((G100*1.2/units!$D$20)*60)+((H100*1.2/units!$E$20)*60))/60</f>
        <v>7.357142857142858</v>
      </c>
      <c r="T100" s="187">
        <f>units!$H$9*(((F100*1.2/units!$B$20)*60)+((G100*1.2/units!$D$20)*60)+((H100*1.2/units!$E$20)*60))/60</f>
        <v>20.779220779220783</v>
      </c>
      <c r="U100" s="187">
        <f t="shared" si="29"/>
        <v>13.79427482117882</v>
      </c>
      <c r="V100" s="187">
        <f t="shared" si="30"/>
        <v>10.345706115884115</v>
      </c>
      <c r="W100" s="188">
        <f t="shared" si="31"/>
        <v>79.31708022177821</v>
      </c>
      <c r="X100" s="189"/>
      <c r="Y100" s="187">
        <f>(units!$B$4*(units!$B$25*F100*1.2+units!$D$25*G100*1.2+units!$E$25*H100*1.2)+(F100*1.2*units!$B$33+G100*1.2*units!$D$33+H100*1.2*units!$E$33)+(F100*1.2*units!$B$37+G100*1.2*units!$D$37+H100*1.2*units!$E$37))</f>
        <v>10.661606769230769</v>
      </c>
      <c r="Z100" s="187">
        <f>units!$F$10*(((F100*1.2/units!$B$21)*60)+((G100*1.2/units!$D$21)*60)+((H100*1.2/units!$E$21)*60))/60</f>
        <v>1.3361823361823364</v>
      </c>
      <c r="AA100" s="187">
        <f>units!$H$10*(((F100*1.2/units!$B$21)*60)+((G100*1.2/units!$D$21)*60)+((H100*1.2/units!$E$21)*60))/60</f>
        <v>13.468013468013469</v>
      </c>
      <c r="AB100" s="187">
        <f t="shared" si="32"/>
        <v>6.366450643356643</v>
      </c>
      <c r="AC100" s="187">
        <f t="shared" si="33"/>
        <v>4.774837982517482</v>
      </c>
      <c r="AD100" s="188">
        <f t="shared" si="34"/>
        <v>36.6070911993007</v>
      </c>
      <c r="AE100" s="190"/>
      <c r="AF100" s="188">
        <f>IF(E100=units!$N$8,P100,"")</f>
      </c>
      <c r="AG100" s="188">
        <f>IF(E100=units!$M$8,W100,"")</f>
      </c>
      <c r="AH100" s="188">
        <f>IF(E100=units!$L$8,AD100,"")</f>
        <v>36.6070911993007</v>
      </c>
      <c r="AI100" s="188">
        <f t="shared" si="35"/>
        <v>36.6070911993007</v>
      </c>
      <c r="AJ100" s="199">
        <v>2</v>
      </c>
      <c r="AK100" s="255">
        <f t="shared" si="36"/>
        <v>73.2141823986014</v>
      </c>
      <c r="AL100" s="256">
        <f t="shared" si="37"/>
        <v>12812.481919755244</v>
      </c>
      <c r="AM100" s="142"/>
      <c r="AN100" s="242"/>
      <c r="AO100" s="247"/>
    </row>
    <row r="101" spans="1:41" s="139" customFormat="1" ht="30">
      <c r="A101" s="294">
        <v>92</v>
      </c>
      <c r="B101" s="191" t="s">
        <v>192</v>
      </c>
      <c r="C101" s="182">
        <v>4</v>
      </c>
      <c r="D101" s="191" t="s">
        <v>273</v>
      </c>
      <c r="E101" s="192" t="str">
        <f>IF(ISNUMBER(C101),IF(C101&lt;=units!$L$7,units!$L$8,IF(C101&lt;=units!$N$7,units!$M$8,IF(C101&gt;units!$O$8,"OXI",units!$N$8))),"--")</f>
        <v>TAXI</v>
      </c>
      <c r="F101" s="183">
        <v>0</v>
      </c>
      <c r="G101" s="184">
        <v>0</v>
      </c>
      <c r="H101" s="185">
        <v>24</v>
      </c>
      <c r="I101" s="186">
        <f t="shared" si="25"/>
        <v>24</v>
      </c>
      <c r="J101" s="282"/>
      <c r="K101" s="277">
        <f>(units!$B$4*(F101*1.2*units!$B$23+G101*1.2*units!$D$23+H101*1.2*units!$E$23))+(F101*1.2*units!$B$31+G101*1.2*units!$D$31+H101*1.2*units!$E$31)+(F101*1.2*units!$B$35+G101*1.2*units!$D$35+H101*1.2*units!$E$35)</f>
        <v>36.76167644835165</v>
      </c>
      <c r="L101" s="187">
        <f>units!$F$8*((F101*1.2/units!$B$19)*60+((G101*1.2/units!$D$19)*60)+((H101*1.2/units!$E$19)*60))/60</f>
        <v>6.661538461538462</v>
      </c>
      <c r="M101" s="187">
        <f>units!$H$8*((F101*1.2/units!$B$19)*60+((G101*1.2/units!$D$19)*60)+((H101*1.2/units!$E$19)*60))/60</f>
        <v>12.467532467532466</v>
      </c>
      <c r="N101" s="187">
        <f t="shared" si="26"/>
        <v>13.972686844355644</v>
      </c>
      <c r="O101" s="187">
        <f t="shared" si="27"/>
        <v>10.479515133266732</v>
      </c>
      <c r="P101" s="188">
        <f t="shared" si="28"/>
        <v>80.34294935504495</v>
      </c>
      <c r="Q101" s="189"/>
      <c r="R101" s="187">
        <f>(F101*1.2*units!$B$36+G101*1.2*units!$D$36+H101*1.2*units!$E$36)+(F101*1.2*units!$B$32+G101*1.2*units!$D$32+H101*1.2*units!$E$32)+(units!$B$4*(F101*1.2*units!$B$24+G101*1.2*units!$D$24+H101*1.2*units!$E$24))</f>
        <v>16.224441389010988</v>
      </c>
      <c r="S101" s="187">
        <f>units!$F$9*(((F101*1.2/units!$B$20)*60)+((G101*1.2/units!$D$20)*60)+((H101*1.2/units!$E$20)*60))/60</f>
        <v>4.414285714285714</v>
      </c>
      <c r="T101" s="187">
        <f>units!$H$9*(((F101*1.2/units!$B$20)*60)+((G101*1.2/units!$D$20)*60)+((H101*1.2/units!$E$20)*60))/60</f>
        <v>12.467532467532466</v>
      </c>
      <c r="U101" s="187">
        <f t="shared" si="29"/>
        <v>8.276564892707292</v>
      </c>
      <c r="V101" s="187">
        <f t="shared" si="30"/>
        <v>6.207423669530469</v>
      </c>
      <c r="W101" s="188">
        <f t="shared" si="31"/>
        <v>47.59024813306693</v>
      </c>
      <c r="X101" s="189"/>
      <c r="Y101" s="187">
        <f>(units!$B$4*(units!$B$25*F101*1.2+units!$D$25*G101*1.2+units!$E$25*H101*1.2)+(F101*1.2*units!$B$33+G101*1.2*units!$D$33+H101*1.2*units!$E$33)+(F101*1.2*units!$B$37+G101*1.2*units!$D$37+H101*1.2*units!$E$37))</f>
        <v>6.396964061538461</v>
      </c>
      <c r="Z101" s="187">
        <f>units!$F$10*(((F101*1.2/units!$B$21)*60)+((G101*1.2/units!$D$21)*60)+((H101*1.2/units!$E$21)*60))/60</f>
        <v>0.8017094017094017</v>
      </c>
      <c r="AA101" s="187">
        <f>units!$H$10*(((F101*1.2/units!$B$21)*60)+((G101*1.2/units!$D$21)*60)+((H101*1.2/units!$E$21)*60))/60</f>
        <v>8.08080808080808</v>
      </c>
      <c r="AB101" s="187">
        <f t="shared" si="32"/>
        <v>3.8198703860139855</v>
      </c>
      <c r="AC101" s="187">
        <f t="shared" si="33"/>
        <v>2.8649027895104893</v>
      </c>
      <c r="AD101" s="188">
        <f t="shared" si="34"/>
        <v>21.964254719580417</v>
      </c>
      <c r="AE101" s="190"/>
      <c r="AF101" s="188">
        <f>IF(E101=units!$N$8,P101,"")</f>
      </c>
      <c r="AG101" s="188">
        <f>IF(E101=units!$M$8,W101,"")</f>
      </c>
      <c r="AH101" s="188">
        <f>IF(E101=units!$L$8,AD101,"")</f>
        <v>21.964254719580417</v>
      </c>
      <c r="AI101" s="188">
        <f t="shared" si="35"/>
        <v>21.964254719580417</v>
      </c>
      <c r="AJ101" s="199">
        <v>2</v>
      </c>
      <c r="AK101" s="255">
        <f t="shared" si="36"/>
        <v>43.928509439160834</v>
      </c>
      <c r="AL101" s="256">
        <f t="shared" si="37"/>
        <v>7687.489151853146</v>
      </c>
      <c r="AM101" s="142"/>
      <c r="AN101" s="242"/>
      <c r="AO101" s="247"/>
    </row>
    <row r="102" spans="1:41" s="139" customFormat="1" ht="15.75">
      <c r="A102" s="294">
        <v>93</v>
      </c>
      <c r="B102" s="191" t="s">
        <v>185</v>
      </c>
      <c r="C102" s="182">
        <v>3</v>
      </c>
      <c r="D102" s="191" t="s">
        <v>274</v>
      </c>
      <c r="E102" s="192" t="str">
        <f>IF(ISNUMBER(C102),IF(C102&lt;=units!$L$7,units!$L$8,IF(C102&lt;=units!$N$7,units!$M$8,IF(C102&gt;units!$O$8,"OXI",units!$N$8))),"--")</f>
        <v>TAXI</v>
      </c>
      <c r="F102" s="183">
        <v>5</v>
      </c>
      <c r="G102" s="184">
        <v>0</v>
      </c>
      <c r="H102" s="185">
        <v>45</v>
      </c>
      <c r="I102" s="186">
        <f aca="true" t="shared" si="38" ref="I102:I122">IF(SUM(F102:H102)=0,"--",SUM(F102:H102))</f>
        <v>50</v>
      </c>
      <c r="J102" s="282"/>
      <c r="K102" s="277">
        <f>(units!$B$4*(F102*1.2*units!$B$23+G102*1.2*units!$D$23+H102*1.2*units!$E$23))+(F102*1.2*units!$B$31+G102*1.2*units!$D$31+H102*1.2*units!$E$31)+(F102*1.2*units!$B$35+G102*1.2*units!$D$35+H102*1.2*units!$E$35)</f>
        <v>76.69902072527472</v>
      </c>
      <c r="L102" s="187">
        <f>units!$F$8*((F102*1.2/units!$B$19)*60+((G102*1.2/units!$D$19)*60)+((H102*1.2/units!$E$19)*60))/60</f>
        <v>15.72863247863248</v>
      </c>
      <c r="M102" s="187">
        <f>units!$H$8*((F102*1.2/units!$B$19)*60+((G102*1.2/units!$D$19)*60)+((H102*1.2/units!$E$19)*60))/60</f>
        <v>29.43722943722944</v>
      </c>
      <c r="N102" s="187">
        <f aca="true" t="shared" si="39" ref="N102:N122">0.25*(K102+L102+M102)</f>
        <v>30.466220660284158</v>
      </c>
      <c r="O102" s="187">
        <f aca="true" t="shared" si="40" ref="O102:O122">0.15*(K102+L102+M102+N102)</f>
        <v>22.84966549521312</v>
      </c>
      <c r="P102" s="188">
        <f aca="true" t="shared" si="41" ref="P102:P122">SUM(K102:O102)</f>
        <v>175.1807687966339</v>
      </c>
      <c r="Q102" s="189"/>
      <c r="R102" s="187">
        <f>(F102*1.2*units!$B$36+G102*1.2*units!$D$36+H102*1.2*units!$E$36)+(F102*1.2*units!$B$32+G102*1.2*units!$D$32+H102*1.2*units!$E$32)+(units!$B$4*(F102*1.2*units!$B$24+G102*1.2*units!$D$24+H102*1.2*units!$E$24))</f>
        <v>34.1974742967033</v>
      </c>
      <c r="S102" s="187">
        <f>units!$F$9*(((F102*1.2/units!$B$20)*60)+((G102*1.2/units!$D$20)*60)+((H102*1.2/units!$E$20)*60))/60</f>
        <v>10.064980158730158</v>
      </c>
      <c r="T102" s="187">
        <f>units!$H$9*(((F102*1.2/units!$B$20)*60)+((G102*1.2/units!$D$20)*60)+((H102*1.2/units!$E$20)*60))/60</f>
        <v>28.427128427128427</v>
      </c>
      <c r="U102" s="187">
        <f aca="true" t="shared" si="42" ref="U102:U122">0.25*(R102+S102+T102)</f>
        <v>18.17239572064047</v>
      </c>
      <c r="V102" s="187">
        <f aca="true" t="shared" si="43" ref="V102:V122">0.15*(R102+S102+T102+U102)</f>
        <v>13.629296790480351</v>
      </c>
      <c r="W102" s="188">
        <f aca="true" t="shared" si="44" ref="W102:W122">SUM(R102:V102)</f>
        <v>104.4912753936827</v>
      </c>
      <c r="X102" s="189"/>
      <c r="Y102" s="187">
        <f>(units!$B$4*(units!$B$25*F102*1.2+units!$D$25*G102*1.2+units!$E$25*H102*1.2)+(F102*1.2*units!$B$33+G102*1.2*units!$D$33+H102*1.2*units!$E$33)+(F102*1.2*units!$B$37+G102*1.2*units!$D$37+H102*1.2*units!$E$37))</f>
        <v>13.292603884615385</v>
      </c>
      <c r="Z102" s="187">
        <f>units!$F$10*(((F102*1.2/units!$B$21)*60)+((G102*1.2/units!$D$21)*60)+((H102*1.2/units!$E$21)*60))/60</f>
        <v>1.7537393162393164</v>
      </c>
      <c r="AA102" s="187">
        <f>units!$H$10*(((F102*1.2/units!$B$21)*60)+((G102*1.2/units!$D$21)*60)+((H102*1.2/units!$E$21)*60))/60</f>
        <v>17.676767676767675</v>
      </c>
      <c r="AB102" s="187">
        <f aca="true" t="shared" si="45" ref="AB102:AB122">0.25*(Y102+Z102+AA102)</f>
        <v>8.180777719405594</v>
      </c>
      <c r="AC102" s="187">
        <f aca="true" t="shared" si="46" ref="AC102:AC122">0.15*(Y102+Z102+AA102+AB102)</f>
        <v>6.135583289554195</v>
      </c>
      <c r="AD102" s="188">
        <f aca="true" t="shared" si="47" ref="AD102:AD122">SUM(Y102:AC102)</f>
        <v>47.03947188658217</v>
      </c>
      <c r="AE102" s="190"/>
      <c r="AF102" s="188">
        <f>IF(E102=units!$N$8,P102,"")</f>
      </c>
      <c r="AG102" s="188">
        <f>IF(E102=units!$M$8,W102,"")</f>
      </c>
      <c r="AH102" s="188">
        <f>IF(E102=units!$L$8,AD102,"")</f>
        <v>47.03947188658217</v>
      </c>
      <c r="AI102" s="188">
        <f aca="true" t="shared" si="48" ref="AI102:AI122">IF(SUM(AF102:AH102)&gt;0,SUM(AF102:AH102),"")</f>
        <v>47.03947188658217</v>
      </c>
      <c r="AJ102" s="199">
        <v>2</v>
      </c>
      <c r="AK102" s="255">
        <f aca="true" t="shared" si="49" ref="AK102:AK122">AI102*AJ102</f>
        <v>94.07894377316434</v>
      </c>
      <c r="AL102" s="256">
        <f t="shared" si="37"/>
        <v>16463.81516030376</v>
      </c>
      <c r="AM102" s="142"/>
      <c r="AN102" s="242"/>
      <c r="AO102" s="247"/>
    </row>
    <row r="103" spans="1:41" s="139" customFormat="1" ht="15.75">
      <c r="A103" s="294">
        <v>94</v>
      </c>
      <c r="B103" s="191" t="s">
        <v>275</v>
      </c>
      <c r="C103" s="182">
        <v>2</v>
      </c>
      <c r="D103" s="191" t="s">
        <v>218</v>
      </c>
      <c r="E103" s="192" t="str">
        <f>IF(ISNUMBER(C103),IF(C103&lt;=units!$L$7,units!$L$8,IF(C103&lt;=units!$N$7,units!$M$8,IF(C103&gt;units!$O$8,"OXI",units!$N$8))),"--")</f>
        <v>TAXI</v>
      </c>
      <c r="F103" s="183">
        <v>5</v>
      </c>
      <c r="G103" s="184">
        <v>0</v>
      </c>
      <c r="H103" s="185">
        <v>58</v>
      </c>
      <c r="I103" s="186">
        <f t="shared" si="38"/>
        <v>63</v>
      </c>
      <c r="J103" s="282"/>
      <c r="K103" s="277">
        <f>(units!$B$4*(F103*1.2*units!$B$23+G103*1.2*units!$D$23+H103*1.2*units!$E$23))+(F103*1.2*units!$B$31+G103*1.2*units!$D$31+H103*1.2*units!$E$31)+(F103*1.2*units!$B$35+G103*1.2*units!$D$35+H103*1.2*units!$E$35)</f>
        <v>96.61159546813187</v>
      </c>
      <c r="L103" s="187">
        <f>units!$F$8*((F103*1.2/units!$B$19)*60+((G103*1.2/units!$D$19)*60)+((H103*1.2/units!$E$19)*60))/60</f>
        <v>19.33696581196581</v>
      </c>
      <c r="M103" s="187">
        <f>units!$H$8*((F103*1.2/units!$B$19)*60+((G103*1.2/units!$D$19)*60)+((H103*1.2/units!$E$19)*60))/60</f>
        <v>36.19047619047618</v>
      </c>
      <c r="N103" s="187">
        <f t="shared" si="39"/>
        <v>38.03475936764347</v>
      </c>
      <c r="O103" s="187">
        <f t="shared" si="40"/>
        <v>28.5260695257326</v>
      </c>
      <c r="P103" s="188">
        <f t="shared" si="41"/>
        <v>218.69986636394992</v>
      </c>
      <c r="Q103" s="189"/>
      <c r="R103" s="187">
        <f>(F103*1.2*units!$B$36+G103*1.2*units!$D$36+H103*1.2*units!$E$36)+(F103*1.2*units!$B$32+G103*1.2*units!$D$32+H103*1.2*units!$E$32)+(units!$B$4*(F103*1.2*units!$B$24+G103*1.2*units!$D$24+H103*1.2*units!$E$24))</f>
        <v>42.98571338241757</v>
      </c>
      <c r="S103" s="187">
        <f>units!$F$9*(((F103*1.2/units!$B$20)*60)+((G103*1.2/units!$D$20)*60)+((H103*1.2/units!$E$20)*60))/60</f>
        <v>12.456051587301584</v>
      </c>
      <c r="T103" s="187">
        <f>units!$H$9*(((F103*1.2/units!$B$20)*60)+((G103*1.2/units!$D$20)*60)+((H103*1.2/units!$E$20)*60))/60</f>
        <v>35.18037518037518</v>
      </c>
      <c r="U103" s="187">
        <f t="shared" si="42"/>
        <v>22.655535037523585</v>
      </c>
      <c r="V103" s="187">
        <f t="shared" si="43"/>
        <v>16.991651278142687</v>
      </c>
      <c r="W103" s="188">
        <f t="shared" si="44"/>
        <v>130.2693264657606</v>
      </c>
      <c r="X103" s="189"/>
      <c r="Y103" s="187">
        <f>(units!$B$4*(units!$B$25*F103*1.2+units!$D$25*G103*1.2+units!$E$25*H103*1.2)+(F103*1.2*units!$B$33+G103*1.2*units!$D$33+H103*1.2*units!$E$33)+(F103*1.2*units!$B$37+G103*1.2*units!$D$37+H103*1.2*units!$E$37))</f>
        <v>16.75762608461538</v>
      </c>
      <c r="Z103" s="187">
        <f>units!$F$10*(((F103*1.2/units!$B$21)*60)+((G103*1.2/units!$D$21)*60)+((H103*1.2/units!$E$21)*60))/60</f>
        <v>2.187998575498576</v>
      </c>
      <c r="AA103" s="187">
        <f>units!$H$10*(((F103*1.2/units!$B$21)*60)+((G103*1.2/units!$D$21)*60)+((H103*1.2/units!$E$21)*60))/60</f>
        <v>22.053872053872052</v>
      </c>
      <c r="AB103" s="187">
        <f t="shared" si="45"/>
        <v>10.249874178496501</v>
      </c>
      <c r="AC103" s="187">
        <f t="shared" si="46"/>
        <v>7.687405633872375</v>
      </c>
      <c r="AD103" s="188">
        <f t="shared" si="47"/>
        <v>58.936776526354876</v>
      </c>
      <c r="AE103" s="190"/>
      <c r="AF103" s="188">
        <f>IF(E103=units!$N$8,P103,"")</f>
      </c>
      <c r="AG103" s="188">
        <f>IF(E103=units!$M$8,W103,"")</f>
      </c>
      <c r="AH103" s="188">
        <f>IF(E103=units!$L$8,AD103,"")</f>
        <v>58.936776526354876</v>
      </c>
      <c r="AI103" s="188">
        <f t="shared" si="48"/>
        <v>58.936776526354876</v>
      </c>
      <c r="AJ103" s="199">
        <v>2</v>
      </c>
      <c r="AK103" s="255">
        <f t="shared" si="49"/>
        <v>117.87355305270975</v>
      </c>
      <c r="AL103" s="256">
        <f t="shared" si="37"/>
        <v>20627.871784224208</v>
      </c>
      <c r="AM103" s="142"/>
      <c r="AN103" s="242"/>
      <c r="AO103" s="247"/>
    </row>
    <row r="104" spans="1:41" s="139" customFormat="1" ht="15.75">
      <c r="A104" s="294">
        <v>95</v>
      </c>
      <c r="B104" s="191" t="s">
        <v>185</v>
      </c>
      <c r="C104" s="182">
        <v>1</v>
      </c>
      <c r="D104" s="191" t="s">
        <v>169</v>
      </c>
      <c r="E104" s="192" t="str">
        <f>IF(ISNUMBER(C104),IF(C104&lt;=units!$L$7,units!$L$8,IF(C104&lt;=units!$N$7,units!$M$8,IF(C104&gt;units!$O$8,"OXI",units!$N$8))),"--")</f>
        <v>TAXI</v>
      </c>
      <c r="F104" s="183">
        <v>4</v>
      </c>
      <c r="G104" s="184">
        <v>0</v>
      </c>
      <c r="H104" s="185">
        <v>20</v>
      </c>
      <c r="I104" s="186">
        <f t="shared" si="38"/>
        <v>24</v>
      </c>
      <c r="J104" s="282"/>
      <c r="K104" s="277">
        <f>(units!$B$4*(F104*1.2*units!$B$23+G104*1.2*units!$D$23+H104*1.2*units!$E$23))+(F104*1.2*units!$B$31+G104*1.2*units!$D$31+H104*1.2*units!$E$31)+(F104*1.2*units!$B$35+G104*1.2*units!$D$35+H104*1.2*units!$E$35)</f>
        <v>36.85143228131868</v>
      </c>
      <c r="L104" s="187">
        <f>units!$F$8*((F104*1.2/units!$B$19)*60+((G104*1.2/units!$D$19)*60)+((H104*1.2/units!$E$19)*60))/60</f>
        <v>8.141880341880343</v>
      </c>
      <c r="M104" s="187">
        <f>units!$H$8*((F104*1.2/units!$B$19)*60+((G104*1.2/units!$D$19)*60)+((H104*1.2/units!$E$19)*60))/60</f>
        <v>15.238095238095239</v>
      </c>
      <c r="N104" s="187">
        <f t="shared" si="39"/>
        <v>15.057851965323566</v>
      </c>
      <c r="O104" s="187">
        <f t="shared" si="40"/>
        <v>11.293388973992675</v>
      </c>
      <c r="P104" s="188">
        <f t="shared" si="41"/>
        <v>86.58264880061051</v>
      </c>
      <c r="Q104" s="189"/>
      <c r="R104" s="187">
        <f>(F104*1.2*units!$B$36+G104*1.2*units!$D$36+H104*1.2*units!$E$36)+(F104*1.2*units!$B$32+G104*1.2*units!$D$32+H104*1.2*units!$E$32)+(units!$B$4*(F104*1.2*units!$B$24+G104*1.2*units!$D$24+H104*1.2*units!$E$24))</f>
        <v>16.54168517802198</v>
      </c>
      <c r="S104" s="187">
        <f>units!$F$9*(((F104*1.2/units!$B$20)*60)+((G104*1.2/units!$D$20)*60)+((H104*1.2/units!$E$20)*60))/60</f>
        <v>5.109126984126984</v>
      </c>
      <c r="T104" s="187">
        <f>units!$H$9*(((F104*1.2/units!$B$20)*60)+((G104*1.2/units!$D$20)*60)+((H104*1.2/units!$E$20)*60))/60</f>
        <v>14.430014430014431</v>
      </c>
      <c r="U104" s="187">
        <f t="shared" si="42"/>
        <v>9.020206648040848</v>
      </c>
      <c r="V104" s="187">
        <f t="shared" si="43"/>
        <v>6.765154986030636</v>
      </c>
      <c r="W104" s="188">
        <f t="shared" si="44"/>
        <v>51.866188226234875</v>
      </c>
      <c r="X104" s="189"/>
      <c r="Y104" s="187">
        <f>(units!$B$4*(units!$B$25*F104*1.2+units!$D$25*G104*1.2+units!$E$25*H104*1.2)+(F104*1.2*units!$B$33+G104*1.2*units!$D$33+H104*1.2*units!$E$33)+(F104*1.2*units!$B$37+G104*1.2*units!$D$37+H104*1.2*units!$E$37))</f>
        <v>6.3694404</v>
      </c>
      <c r="Z104" s="187">
        <f>units!$F$10*(((F104*1.2/units!$B$21)*60)+((G104*1.2/units!$D$21)*60)+((H104*1.2/units!$E$21)*60))/60</f>
        <v>0.8685185185185187</v>
      </c>
      <c r="AA104" s="187">
        <f>units!$H$10*(((F104*1.2/units!$B$21)*60)+((G104*1.2/units!$D$21)*60)+((H104*1.2/units!$E$21)*60))/60</f>
        <v>8.754208754208754</v>
      </c>
      <c r="AB104" s="187">
        <f t="shared" si="45"/>
        <v>3.9980419181818183</v>
      </c>
      <c r="AC104" s="187">
        <f t="shared" si="46"/>
        <v>2.998531438636364</v>
      </c>
      <c r="AD104" s="188">
        <f t="shared" si="47"/>
        <v>22.988741029545455</v>
      </c>
      <c r="AE104" s="190"/>
      <c r="AF104" s="188">
        <f>IF(E104=units!$N$8,P104,"")</f>
      </c>
      <c r="AG104" s="188">
        <f>IF(E104=units!$M$8,W104,"")</f>
      </c>
      <c r="AH104" s="188">
        <f>IF(E104=units!$L$8,AD104,"")</f>
        <v>22.988741029545455</v>
      </c>
      <c r="AI104" s="188">
        <f t="shared" si="48"/>
        <v>22.988741029545455</v>
      </c>
      <c r="AJ104" s="199">
        <v>2</v>
      </c>
      <c r="AK104" s="255">
        <f t="shared" si="49"/>
        <v>45.97748205909091</v>
      </c>
      <c r="AL104" s="256">
        <f t="shared" si="37"/>
        <v>8046.059360340909</v>
      </c>
      <c r="AM104" s="142"/>
      <c r="AN104" s="242"/>
      <c r="AO104" s="247"/>
    </row>
    <row r="105" spans="1:41" s="139" customFormat="1" ht="15.75">
      <c r="A105" s="294">
        <v>96</v>
      </c>
      <c r="B105" s="191" t="s">
        <v>275</v>
      </c>
      <c r="C105" s="182">
        <v>1</v>
      </c>
      <c r="D105" s="191" t="s">
        <v>188</v>
      </c>
      <c r="E105" s="192" t="str">
        <f>IF(ISNUMBER(C105),IF(C105&lt;=units!$L$7,units!$L$8,IF(C105&lt;=units!$N$7,units!$M$8,IF(C105&gt;units!$O$8,"OXI",units!$N$8))),"--")</f>
        <v>TAXI</v>
      </c>
      <c r="F105" s="183">
        <v>5</v>
      </c>
      <c r="G105" s="184">
        <v>0</v>
      </c>
      <c r="H105" s="185">
        <v>20</v>
      </c>
      <c r="I105" s="186">
        <f t="shared" si="38"/>
        <v>25</v>
      </c>
      <c r="J105" s="282"/>
      <c r="K105" s="277">
        <f>(units!$B$4*(F105*1.2*units!$B$23+G105*1.2*units!$D$23+H105*1.2*units!$E$23))+(F105*1.2*units!$B$31+G105*1.2*units!$D$31+H105*1.2*units!$E$31)+(F105*1.2*units!$B$35+G105*1.2*units!$D$35+H105*1.2*units!$E$35)</f>
        <v>38.405607758241764</v>
      </c>
      <c r="L105" s="187">
        <f>units!$F$8*((F105*1.2/units!$B$19)*60+((G105*1.2/units!$D$19)*60)+((H105*1.2/units!$E$19)*60))/60</f>
        <v>8.789529914529915</v>
      </c>
      <c r="M105" s="187">
        <f>units!$H$8*((F105*1.2/units!$B$19)*60+((G105*1.2/units!$D$19)*60)+((H105*1.2/units!$E$19)*60))/60</f>
        <v>16.45021645021645</v>
      </c>
      <c r="N105" s="187">
        <f t="shared" si="39"/>
        <v>15.911338530747031</v>
      </c>
      <c r="O105" s="187">
        <f t="shared" si="40"/>
        <v>11.933503898060273</v>
      </c>
      <c r="P105" s="188">
        <f t="shared" si="41"/>
        <v>91.49019655179544</v>
      </c>
      <c r="Q105" s="189"/>
      <c r="R105" s="187">
        <f>(F105*1.2*units!$B$36+G105*1.2*units!$D$36+H105*1.2*units!$E$36)+(F105*1.2*units!$B$32+G105*1.2*units!$D$32+H105*1.2*units!$E$32)+(units!$B$4*(F105*1.2*units!$B$24+G105*1.2*units!$D$24+H105*1.2*units!$E$24))</f>
        <v>17.297014516483515</v>
      </c>
      <c r="S105" s="187">
        <f>units!$F$9*(((F105*1.2/units!$B$20)*60)+((G105*1.2/units!$D$20)*60)+((H105*1.2/units!$E$20)*60))/60</f>
        <v>5.466765873015873</v>
      </c>
      <c r="T105" s="187">
        <f>units!$H$9*(((F105*1.2/units!$B$20)*60)+((G105*1.2/units!$D$20)*60)+((H105*1.2/units!$E$20)*60))/60</f>
        <v>15.440115440115441</v>
      </c>
      <c r="U105" s="187">
        <f t="shared" si="42"/>
        <v>9.550973957403707</v>
      </c>
      <c r="V105" s="187">
        <f t="shared" si="43"/>
        <v>7.16323046805278</v>
      </c>
      <c r="W105" s="188">
        <f t="shared" si="44"/>
        <v>54.918100255071316</v>
      </c>
      <c r="X105" s="189"/>
      <c r="Y105" s="187">
        <f>(units!$B$4*(units!$B$25*F105*1.2+units!$D$25*G105*1.2+units!$E$25*H105*1.2)+(F105*1.2*units!$B$33+G105*1.2*units!$D$33+H105*1.2*units!$E$33)+(F105*1.2*units!$B$37+G105*1.2*units!$D$37+H105*1.2*units!$E$37))</f>
        <v>6.629099653846154</v>
      </c>
      <c r="Z105" s="187">
        <f>units!$F$10*(((F105*1.2/units!$B$21)*60)+((G105*1.2/units!$D$21)*60)+((H105*1.2/units!$E$21)*60))/60</f>
        <v>0.9186253561253562</v>
      </c>
      <c r="AA105" s="187">
        <f>units!$H$10*(((F105*1.2/units!$B$21)*60)+((G105*1.2/units!$D$21)*60)+((H105*1.2/units!$E$21)*60))/60</f>
        <v>9.25925925925926</v>
      </c>
      <c r="AB105" s="187">
        <f t="shared" si="45"/>
        <v>4.201746067307693</v>
      </c>
      <c r="AC105" s="187">
        <f t="shared" si="46"/>
        <v>3.1513095504807693</v>
      </c>
      <c r="AD105" s="188">
        <f t="shared" si="47"/>
        <v>24.16003988701923</v>
      </c>
      <c r="AE105" s="190"/>
      <c r="AF105" s="188">
        <f>IF(E105=units!$N$8,P105,"")</f>
      </c>
      <c r="AG105" s="188">
        <f>IF(E105=units!$M$8,W105,"")</f>
      </c>
      <c r="AH105" s="188">
        <f>IF(E105=units!$L$8,AD105,"")</f>
        <v>24.16003988701923</v>
      </c>
      <c r="AI105" s="188">
        <f t="shared" si="48"/>
        <v>24.16003988701923</v>
      </c>
      <c r="AJ105" s="199">
        <v>2</v>
      </c>
      <c r="AK105" s="255">
        <f t="shared" si="49"/>
        <v>48.32007977403846</v>
      </c>
      <c r="AL105" s="256">
        <f t="shared" si="37"/>
        <v>8456.01396045673</v>
      </c>
      <c r="AM105" s="142"/>
      <c r="AN105" s="242"/>
      <c r="AO105" s="247"/>
    </row>
    <row r="106" spans="1:41" s="139" customFormat="1" ht="30">
      <c r="A106" s="294">
        <v>97</v>
      </c>
      <c r="B106" s="191" t="s">
        <v>185</v>
      </c>
      <c r="C106" s="182">
        <v>3</v>
      </c>
      <c r="D106" s="191" t="s">
        <v>276</v>
      </c>
      <c r="E106" s="192" t="str">
        <f>IF(ISNUMBER(C106),IF(C106&lt;=units!$L$7,units!$L$8,IF(C106&lt;=units!$N$7,units!$M$8,IF(C106&gt;units!$O$8,"OXI",units!$N$8))),"--")</f>
        <v>TAXI</v>
      </c>
      <c r="F106" s="183">
        <v>0</v>
      </c>
      <c r="G106" s="184">
        <v>0</v>
      </c>
      <c r="H106" s="185">
        <v>20</v>
      </c>
      <c r="I106" s="186">
        <f t="shared" si="38"/>
        <v>20</v>
      </c>
      <c r="J106" s="282"/>
      <c r="K106" s="277">
        <f>(units!$B$4*(F106*1.2*units!$B$23+G106*1.2*units!$D$23+H106*1.2*units!$E$23))+(F106*1.2*units!$B$31+G106*1.2*units!$D$31+H106*1.2*units!$E$31)+(F106*1.2*units!$B$35+G106*1.2*units!$D$35+H106*1.2*units!$E$35)</f>
        <v>30.634730373626375</v>
      </c>
      <c r="L106" s="187">
        <f>units!$F$8*((F106*1.2/units!$B$19)*60+((G106*1.2/units!$D$19)*60)+((H106*1.2/units!$E$19)*60))/60</f>
        <v>5.551282051282053</v>
      </c>
      <c r="M106" s="187">
        <f>units!$H$8*((F106*1.2/units!$B$19)*60+((G106*1.2/units!$D$19)*60)+((H106*1.2/units!$E$19)*60))/60</f>
        <v>10.389610389610391</v>
      </c>
      <c r="N106" s="187">
        <f t="shared" si="39"/>
        <v>11.643905703629704</v>
      </c>
      <c r="O106" s="187">
        <f t="shared" si="40"/>
        <v>8.732929277722278</v>
      </c>
      <c r="P106" s="188">
        <f t="shared" si="41"/>
        <v>66.9524577958708</v>
      </c>
      <c r="Q106" s="189"/>
      <c r="R106" s="187">
        <f>(F106*1.2*units!$B$36+G106*1.2*units!$D$36+H106*1.2*units!$E$36)+(F106*1.2*units!$B$32+G106*1.2*units!$D$32+H106*1.2*units!$E$32)+(units!$B$4*(F106*1.2*units!$B$24+G106*1.2*units!$D$24+H106*1.2*units!$E$24))</f>
        <v>13.520367824175825</v>
      </c>
      <c r="S106" s="187">
        <f>units!$F$9*(((F106*1.2/units!$B$20)*60)+((G106*1.2/units!$D$20)*60)+((H106*1.2/units!$E$20)*60))/60</f>
        <v>3.678571428571429</v>
      </c>
      <c r="T106" s="187">
        <f>units!$H$9*(((F106*1.2/units!$B$20)*60)+((G106*1.2/units!$D$20)*60)+((H106*1.2/units!$E$20)*60))/60</f>
        <v>10.389610389610391</v>
      </c>
      <c r="U106" s="187">
        <f t="shared" si="42"/>
        <v>6.89713741058941</v>
      </c>
      <c r="V106" s="187">
        <f t="shared" si="43"/>
        <v>5.172853057942057</v>
      </c>
      <c r="W106" s="188">
        <f t="shared" si="44"/>
        <v>39.658540110889106</v>
      </c>
      <c r="X106" s="189"/>
      <c r="Y106" s="187">
        <f>(units!$B$4*(units!$B$25*F106*1.2+units!$D$25*G106*1.2+units!$E$25*H106*1.2)+(F106*1.2*units!$B$33+G106*1.2*units!$D$33+H106*1.2*units!$E$33)+(F106*1.2*units!$B$37+G106*1.2*units!$D$37+H106*1.2*units!$E$37))</f>
        <v>5.330803384615384</v>
      </c>
      <c r="Z106" s="187">
        <f>units!$F$10*(((F106*1.2/units!$B$21)*60)+((G106*1.2/units!$D$21)*60)+((H106*1.2/units!$E$21)*60))/60</f>
        <v>0.6680911680911682</v>
      </c>
      <c r="AA106" s="187">
        <f>units!$H$10*(((F106*1.2/units!$B$21)*60)+((G106*1.2/units!$D$21)*60)+((H106*1.2/units!$E$21)*60))/60</f>
        <v>6.734006734006734</v>
      </c>
      <c r="AB106" s="187">
        <f t="shared" si="45"/>
        <v>3.1832253216783215</v>
      </c>
      <c r="AC106" s="187">
        <f t="shared" si="46"/>
        <v>2.387418991258741</v>
      </c>
      <c r="AD106" s="188">
        <f t="shared" si="47"/>
        <v>18.30354559965035</v>
      </c>
      <c r="AE106" s="190"/>
      <c r="AF106" s="188">
        <f>IF(E106=units!$N$8,P106,"")</f>
      </c>
      <c r="AG106" s="188">
        <f>IF(E106=units!$M$8,W106,"")</f>
      </c>
      <c r="AH106" s="188">
        <f>IF(E106=units!$L$8,AD106,"")</f>
        <v>18.30354559965035</v>
      </c>
      <c r="AI106" s="188">
        <f t="shared" si="48"/>
        <v>18.30354559965035</v>
      </c>
      <c r="AJ106" s="199">
        <v>2</v>
      </c>
      <c r="AK106" s="255">
        <f t="shared" si="49"/>
        <v>36.6070911993007</v>
      </c>
      <c r="AL106" s="256">
        <f t="shared" si="37"/>
        <v>6406.240959877622</v>
      </c>
      <c r="AM106" s="142"/>
      <c r="AN106" s="242"/>
      <c r="AO106" s="247"/>
    </row>
    <row r="107" spans="1:41" s="139" customFormat="1" ht="15.75">
      <c r="A107" s="294">
        <v>98</v>
      </c>
      <c r="B107" s="191" t="s">
        <v>192</v>
      </c>
      <c r="C107" s="182">
        <v>2</v>
      </c>
      <c r="D107" s="191" t="s">
        <v>277</v>
      </c>
      <c r="E107" s="192" t="str">
        <f>IF(ISNUMBER(C107),IF(C107&lt;=units!$L$7,units!$L$8,IF(C107&lt;=units!$N$7,units!$M$8,IF(C107&gt;units!$O$8,"OXI",units!$N$8))),"--")</f>
        <v>TAXI</v>
      </c>
      <c r="F107" s="183">
        <v>0</v>
      </c>
      <c r="G107" s="184">
        <v>0</v>
      </c>
      <c r="H107" s="185">
        <v>22</v>
      </c>
      <c r="I107" s="186">
        <f t="shared" si="38"/>
        <v>22</v>
      </c>
      <c r="J107" s="282"/>
      <c r="K107" s="277">
        <f>(units!$B$4*(F107*1.2*units!$B$23+G107*1.2*units!$D$23+H107*1.2*units!$E$23))+(F107*1.2*units!$B$31+G107*1.2*units!$D$31+H107*1.2*units!$E$31)+(F107*1.2*units!$B$35+G107*1.2*units!$D$35+H107*1.2*units!$E$35)</f>
        <v>33.69820341098901</v>
      </c>
      <c r="L107" s="187">
        <f>units!$F$8*((F107*1.2/units!$B$19)*60+((G107*1.2/units!$D$19)*60)+((H107*1.2/units!$E$19)*60))/60</f>
        <v>6.106410256410257</v>
      </c>
      <c r="M107" s="187">
        <f>units!$H$8*((F107*1.2/units!$B$19)*60+((G107*1.2/units!$D$19)*60)+((H107*1.2/units!$E$19)*60))/60</f>
        <v>11.428571428571427</v>
      </c>
      <c r="N107" s="187">
        <f t="shared" si="39"/>
        <v>12.808296273992674</v>
      </c>
      <c r="O107" s="187">
        <f t="shared" si="40"/>
        <v>9.606222205494506</v>
      </c>
      <c r="P107" s="188">
        <f t="shared" si="41"/>
        <v>73.64770357545788</v>
      </c>
      <c r="Q107" s="189"/>
      <c r="R107" s="187">
        <f>(F107*1.2*units!$B$36+G107*1.2*units!$D$36+H107*1.2*units!$E$36)+(F107*1.2*units!$B$32+G107*1.2*units!$D$32+H107*1.2*units!$E$32)+(units!$B$4*(F107*1.2*units!$B$24+G107*1.2*units!$D$24+H107*1.2*units!$E$24))</f>
        <v>14.872404606593406</v>
      </c>
      <c r="S107" s="187">
        <f>units!$F$9*(((F107*1.2/units!$B$20)*60)+((G107*1.2/units!$D$20)*60)+((H107*1.2/units!$E$20)*60))/60</f>
        <v>4.046428571428571</v>
      </c>
      <c r="T107" s="187">
        <f>units!$H$9*(((F107*1.2/units!$B$20)*60)+((G107*1.2/units!$D$20)*60)+((H107*1.2/units!$E$20)*60))/60</f>
        <v>11.428571428571427</v>
      </c>
      <c r="U107" s="187">
        <f t="shared" si="42"/>
        <v>7.586851151648351</v>
      </c>
      <c r="V107" s="187">
        <f t="shared" si="43"/>
        <v>5.690138363736263</v>
      </c>
      <c r="W107" s="188">
        <f t="shared" si="44"/>
        <v>43.624394121978014</v>
      </c>
      <c r="X107" s="189"/>
      <c r="Y107" s="187">
        <f>(units!$B$4*(units!$B$25*F107*1.2+units!$D$25*G107*1.2+units!$E$25*H107*1.2)+(F107*1.2*units!$B$33+G107*1.2*units!$D$33+H107*1.2*units!$E$33)+(F107*1.2*units!$B$37+G107*1.2*units!$D$37+H107*1.2*units!$E$37))</f>
        <v>5.863883723076923</v>
      </c>
      <c r="Z107" s="187">
        <f>units!$F$10*(((F107*1.2/units!$B$21)*60)+((G107*1.2/units!$D$21)*60)+((H107*1.2/units!$E$21)*60))/60</f>
        <v>0.734900284900285</v>
      </c>
      <c r="AA107" s="187">
        <f>units!$H$10*(((F107*1.2/units!$B$21)*60)+((G107*1.2/units!$D$21)*60)+((H107*1.2/units!$E$21)*60))/60</f>
        <v>7.407407407407407</v>
      </c>
      <c r="AB107" s="187">
        <f t="shared" si="45"/>
        <v>3.501547853846154</v>
      </c>
      <c r="AC107" s="187">
        <f t="shared" si="46"/>
        <v>2.626160890384616</v>
      </c>
      <c r="AD107" s="188">
        <f t="shared" si="47"/>
        <v>20.133900159615386</v>
      </c>
      <c r="AE107" s="190"/>
      <c r="AF107" s="188">
        <f>IF(E107=units!$N$8,P107,"")</f>
      </c>
      <c r="AG107" s="188">
        <f>IF(E107=units!$M$8,W107,"")</f>
      </c>
      <c r="AH107" s="188">
        <f>IF(E107=units!$L$8,AD107,"")</f>
        <v>20.133900159615386</v>
      </c>
      <c r="AI107" s="188">
        <f t="shared" si="48"/>
        <v>20.133900159615386</v>
      </c>
      <c r="AJ107" s="199">
        <v>2</v>
      </c>
      <c r="AK107" s="255">
        <f t="shared" si="49"/>
        <v>40.26780031923077</v>
      </c>
      <c r="AL107" s="256">
        <f t="shared" si="37"/>
        <v>7046.865055865385</v>
      </c>
      <c r="AM107" s="142"/>
      <c r="AN107" s="242"/>
      <c r="AO107" s="247"/>
    </row>
    <row r="108" spans="1:41" s="139" customFormat="1" ht="30">
      <c r="A108" s="294">
        <v>99</v>
      </c>
      <c r="B108" s="191" t="s">
        <v>278</v>
      </c>
      <c r="C108" s="231">
        <v>4</v>
      </c>
      <c r="D108" s="191" t="s">
        <v>193</v>
      </c>
      <c r="E108" s="192" t="str">
        <f>IF(ISNUMBER(C108),IF(C108&lt;=units!$L$7,units!$L$8,IF(C108&lt;=units!$N$7,units!$M$8,IF(C108&gt;units!$O$8,"OXI",units!$N$8))),"--")</f>
        <v>TAXI</v>
      </c>
      <c r="F108" s="183">
        <v>0</v>
      </c>
      <c r="G108" s="184">
        <v>0</v>
      </c>
      <c r="H108" s="185">
        <v>34</v>
      </c>
      <c r="I108" s="186">
        <f t="shared" si="38"/>
        <v>34</v>
      </c>
      <c r="J108" s="282"/>
      <c r="K108" s="277">
        <f>(units!$B$4*(F108*1.2*units!$B$23+G108*1.2*units!$D$23+H108*1.2*units!$E$23))+(F108*1.2*units!$B$31+G108*1.2*units!$D$31+H108*1.2*units!$E$31)+(F108*1.2*units!$B$35+G108*1.2*units!$D$35+H108*1.2*units!$E$35)</f>
        <v>52.07904163516483</v>
      </c>
      <c r="L108" s="187">
        <f>units!$F$8*((F108*1.2/units!$B$19)*60+((G108*1.2/units!$D$19)*60)+((H108*1.2/units!$E$19)*60))/60</f>
        <v>9.437179487179488</v>
      </c>
      <c r="M108" s="187">
        <f>units!$H$8*((F108*1.2/units!$B$19)*60+((G108*1.2/units!$D$19)*60)+((H108*1.2/units!$E$19)*60))/60</f>
        <v>17.662337662337663</v>
      </c>
      <c r="N108" s="187">
        <f t="shared" si="39"/>
        <v>19.794639696170496</v>
      </c>
      <c r="O108" s="187">
        <f t="shared" si="40"/>
        <v>14.84597977212787</v>
      </c>
      <c r="P108" s="188">
        <f t="shared" si="41"/>
        <v>113.81917825298035</v>
      </c>
      <c r="Q108" s="189"/>
      <c r="R108" s="187">
        <f>(F108*1.2*units!$B$36+G108*1.2*units!$D$36+H108*1.2*units!$E$36)+(F108*1.2*units!$B$32+G108*1.2*units!$D$32+H108*1.2*units!$E$32)+(units!$B$4*(F108*1.2*units!$B$24+G108*1.2*units!$D$24+H108*1.2*units!$E$24))</f>
        <v>22.984625301098898</v>
      </c>
      <c r="S108" s="187">
        <f>units!$F$9*(((F108*1.2/units!$B$20)*60)+((G108*1.2/units!$D$20)*60)+((H108*1.2/units!$E$20)*60))/60</f>
        <v>6.253571428571428</v>
      </c>
      <c r="T108" s="187">
        <f>units!$H$9*(((F108*1.2/units!$B$20)*60)+((G108*1.2/units!$D$20)*60)+((H108*1.2/units!$E$20)*60))/60</f>
        <v>17.662337662337663</v>
      </c>
      <c r="U108" s="187">
        <f t="shared" si="42"/>
        <v>11.725133598001998</v>
      </c>
      <c r="V108" s="187">
        <f t="shared" si="43"/>
        <v>8.793850198501497</v>
      </c>
      <c r="W108" s="188">
        <f t="shared" si="44"/>
        <v>67.41951818851149</v>
      </c>
      <c r="X108" s="189"/>
      <c r="Y108" s="187">
        <f>(units!$B$4*(units!$B$25*F108*1.2+units!$D$25*G108*1.2+units!$E$25*H108*1.2)+(F108*1.2*units!$B$33+G108*1.2*units!$D$33+H108*1.2*units!$E$33)+(F108*1.2*units!$B$37+G108*1.2*units!$D$37+H108*1.2*units!$E$37))</f>
        <v>9.062365753846155</v>
      </c>
      <c r="Z108" s="187">
        <f>units!$F$10*(((F108*1.2/units!$B$21)*60)+((G108*1.2/units!$D$21)*60)+((H108*1.2/units!$E$21)*60))/60</f>
        <v>1.1357549857549858</v>
      </c>
      <c r="AA108" s="187">
        <f>units!$H$10*(((F108*1.2/units!$B$21)*60)+((G108*1.2/units!$D$21)*60)+((H108*1.2/units!$E$21)*60))/60</f>
        <v>11.447811447811448</v>
      </c>
      <c r="AB108" s="187">
        <f t="shared" si="45"/>
        <v>5.411483046853148</v>
      </c>
      <c r="AC108" s="187">
        <f t="shared" si="46"/>
        <v>4.058612285139861</v>
      </c>
      <c r="AD108" s="188">
        <f t="shared" si="47"/>
        <v>31.116027519405602</v>
      </c>
      <c r="AE108" s="190"/>
      <c r="AF108" s="188">
        <f>IF(E108=units!$N$8,P108,"")</f>
      </c>
      <c r="AG108" s="188">
        <f>IF(E108=units!$M$8,W108,"")</f>
      </c>
      <c r="AH108" s="188">
        <f>IF(E108=units!$L$8,AD108,"")</f>
        <v>31.116027519405602</v>
      </c>
      <c r="AI108" s="188">
        <f t="shared" si="48"/>
        <v>31.116027519405602</v>
      </c>
      <c r="AJ108" s="199">
        <v>8</v>
      </c>
      <c r="AK108" s="255">
        <f t="shared" si="49"/>
        <v>248.92822015524482</v>
      </c>
      <c r="AL108" s="256">
        <f t="shared" si="37"/>
        <v>43562.43852716784</v>
      </c>
      <c r="AM108" s="142"/>
      <c r="AN108" s="242"/>
      <c r="AO108" s="247"/>
    </row>
    <row r="109" spans="1:41" s="139" customFormat="1" ht="15.75">
      <c r="A109" s="294">
        <v>100</v>
      </c>
      <c r="B109" s="191" t="s">
        <v>189</v>
      </c>
      <c r="C109" s="182">
        <v>2</v>
      </c>
      <c r="D109" s="191" t="s">
        <v>279</v>
      </c>
      <c r="E109" s="192" t="str">
        <f>IF(ISNUMBER(C109),IF(C109&lt;=units!$L$7,units!$L$8,IF(C109&lt;=units!$N$7,units!$M$8,IF(C109&gt;units!$O$8,"OXI",units!$N$8))),"--")</f>
        <v>TAXI</v>
      </c>
      <c r="F109" s="183">
        <v>0</v>
      </c>
      <c r="G109" s="184">
        <v>0</v>
      </c>
      <c r="H109" s="185">
        <v>35</v>
      </c>
      <c r="I109" s="186">
        <f t="shared" si="38"/>
        <v>35</v>
      </c>
      <c r="J109" s="282"/>
      <c r="K109" s="277">
        <f>(units!$B$4*(F109*1.2*units!$B$23+G109*1.2*units!$D$23+H109*1.2*units!$E$23))+(F109*1.2*units!$B$31+G109*1.2*units!$D$31+H109*1.2*units!$E$31)+(F109*1.2*units!$B$35+G109*1.2*units!$D$35+H109*1.2*units!$E$35)</f>
        <v>53.610778153846155</v>
      </c>
      <c r="L109" s="187">
        <f>units!$F$8*((F109*1.2/units!$B$19)*60+((G109*1.2/units!$D$19)*60)+((H109*1.2/units!$E$19)*60))/60</f>
        <v>9.714743589743591</v>
      </c>
      <c r="M109" s="187">
        <f>units!$H$8*((F109*1.2/units!$B$19)*60+((G109*1.2/units!$D$19)*60)+((H109*1.2/units!$E$19)*60))/60</f>
        <v>18.181818181818183</v>
      </c>
      <c r="N109" s="187">
        <f t="shared" si="39"/>
        <v>20.376834981351983</v>
      </c>
      <c r="O109" s="187">
        <f t="shared" si="40"/>
        <v>15.282626236013986</v>
      </c>
      <c r="P109" s="188">
        <f t="shared" si="41"/>
        <v>117.16680114277389</v>
      </c>
      <c r="Q109" s="189"/>
      <c r="R109" s="187">
        <f>(F109*1.2*units!$B$36+G109*1.2*units!$D$36+H109*1.2*units!$E$36)+(F109*1.2*units!$B$32+G109*1.2*units!$D$32+H109*1.2*units!$E$32)+(units!$B$4*(F109*1.2*units!$B$24+G109*1.2*units!$D$24+H109*1.2*units!$E$24))</f>
        <v>23.66064369230769</v>
      </c>
      <c r="S109" s="187">
        <f>units!$F$9*(((F109*1.2/units!$B$20)*60)+((G109*1.2/units!$D$20)*60)+((H109*1.2/units!$E$20)*60))/60</f>
        <v>6.4375</v>
      </c>
      <c r="T109" s="187">
        <f>units!$H$9*(((F109*1.2/units!$B$20)*60)+((G109*1.2/units!$D$20)*60)+((H109*1.2/units!$E$20)*60))/60</f>
        <v>18.181818181818183</v>
      </c>
      <c r="U109" s="187">
        <f t="shared" si="42"/>
        <v>12.069990468531469</v>
      </c>
      <c r="V109" s="187">
        <f t="shared" si="43"/>
        <v>9.052492851398602</v>
      </c>
      <c r="W109" s="188">
        <f t="shared" si="44"/>
        <v>69.40244519405594</v>
      </c>
      <c r="X109" s="189"/>
      <c r="Y109" s="187">
        <f>(units!$B$4*(units!$B$25*F109*1.2+units!$D$25*G109*1.2+units!$E$25*H109*1.2)+(F109*1.2*units!$B$33+G109*1.2*units!$D$33+H109*1.2*units!$E$33)+(F109*1.2*units!$B$37+G109*1.2*units!$D$37+H109*1.2*units!$E$37))</f>
        <v>9.328905923076924</v>
      </c>
      <c r="Z109" s="187">
        <f>units!$F$10*(((F109*1.2/units!$B$21)*60)+((G109*1.2/units!$D$21)*60)+((H109*1.2/units!$E$21)*60))/60</f>
        <v>1.1691595441595444</v>
      </c>
      <c r="AA109" s="187">
        <f>units!$H$10*(((F109*1.2/units!$B$21)*60)+((G109*1.2/units!$D$21)*60)+((H109*1.2/units!$E$21)*60))/60</f>
        <v>11.784511784511784</v>
      </c>
      <c r="AB109" s="187">
        <f t="shared" si="45"/>
        <v>5.570644312937063</v>
      </c>
      <c r="AC109" s="187">
        <f t="shared" si="46"/>
        <v>4.177983234702797</v>
      </c>
      <c r="AD109" s="188">
        <f t="shared" si="47"/>
        <v>32.03120479938811</v>
      </c>
      <c r="AE109" s="190"/>
      <c r="AF109" s="188">
        <f>IF(E109=units!$N$8,P109,"")</f>
      </c>
      <c r="AG109" s="188">
        <f>IF(E109=units!$M$8,W109,"")</f>
      </c>
      <c r="AH109" s="188">
        <f>IF(E109=units!$L$8,AD109,"")</f>
        <v>32.03120479938811</v>
      </c>
      <c r="AI109" s="188">
        <f t="shared" si="48"/>
        <v>32.03120479938811</v>
      </c>
      <c r="AJ109" s="199">
        <v>2</v>
      </c>
      <c r="AK109" s="255">
        <f t="shared" si="49"/>
        <v>64.06240959877621</v>
      </c>
      <c r="AL109" s="256">
        <f t="shared" si="37"/>
        <v>11210.921679785837</v>
      </c>
      <c r="AM109" s="142"/>
      <c r="AN109" s="242"/>
      <c r="AO109" s="247"/>
    </row>
    <row r="110" spans="1:41" s="139" customFormat="1" ht="15.75">
      <c r="A110" s="294">
        <v>101</v>
      </c>
      <c r="B110" s="191" t="s">
        <v>189</v>
      </c>
      <c r="C110" s="182">
        <v>2</v>
      </c>
      <c r="D110" s="191" t="s">
        <v>190</v>
      </c>
      <c r="E110" s="192" t="str">
        <f>IF(ISNUMBER(C110),IF(C110&lt;=units!$L$7,units!$L$8,IF(C110&lt;=units!$N$7,units!$M$8,IF(C110&gt;units!$O$8,"OXI",units!$N$8))),"--")</f>
        <v>TAXI</v>
      </c>
      <c r="F110" s="183">
        <v>0</v>
      </c>
      <c r="G110" s="184">
        <v>0</v>
      </c>
      <c r="H110" s="185">
        <v>29</v>
      </c>
      <c r="I110" s="186">
        <f t="shared" si="38"/>
        <v>29</v>
      </c>
      <c r="J110" s="282"/>
      <c r="K110" s="277">
        <f>(units!$B$4*(F110*1.2*units!$B$23+G110*1.2*units!$D$23+H110*1.2*units!$E$23))+(F110*1.2*units!$B$31+G110*1.2*units!$D$31+H110*1.2*units!$E$31)+(F110*1.2*units!$B$35+G110*1.2*units!$D$35+H110*1.2*units!$E$35)</f>
        <v>44.42035904175824</v>
      </c>
      <c r="L110" s="187">
        <f>units!$F$8*((F110*1.2/units!$B$19)*60+((G110*1.2/units!$D$19)*60)+((H110*1.2/units!$E$19)*60))/60</f>
        <v>8.049358974358976</v>
      </c>
      <c r="M110" s="187">
        <f>units!$H$8*((F110*1.2/units!$B$19)*60+((G110*1.2/units!$D$19)*60)+((H110*1.2/units!$E$19)*60))/60</f>
        <v>15.064935064935064</v>
      </c>
      <c r="N110" s="187">
        <f t="shared" si="39"/>
        <v>16.88366327026307</v>
      </c>
      <c r="O110" s="187">
        <f t="shared" si="40"/>
        <v>12.662747452697303</v>
      </c>
      <c r="P110" s="188">
        <f t="shared" si="41"/>
        <v>97.08106380401266</v>
      </c>
      <c r="Q110" s="189"/>
      <c r="R110" s="187">
        <f>(F110*1.2*units!$B$36+G110*1.2*units!$D$36+H110*1.2*units!$E$36)+(F110*1.2*units!$B$32+G110*1.2*units!$D$32+H110*1.2*units!$E$32)+(units!$B$4*(F110*1.2*units!$B$24+G110*1.2*units!$D$24+H110*1.2*units!$E$24))</f>
        <v>19.604533345054943</v>
      </c>
      <c r="S110" s="187">
        <f>units!$F$9*(((F110*1.2/units!$B$20)*60)+((G110*1.2/units!$D$20)*60)+((H110*1.2/units!$E$20)*60))/60</f>
        <v>5.3339285714285705</v>
      </c>
      <c r="T110" s="187">
        <f>units!$H$9*(((F110*1.2/units!$B$20)*60)+((G110*1.2/units!$D$20)*60)+((H110*1.2/units!$E$20)*60))/60</f>
        <v>15.064935064935064</v>
      </c>
      <c r="U110" s="187">
        <f t="shared" si="42"/>
        <v>10.000849245354644</v>
      </c>
      <c r="V110" s="187">
        <f t="shared" si="43"/>
        <v>7.500636934015983</v>
      </c>
      <c r="W110" s="188">
        <f t="shared" si="44"/>
        <v>57.504883160789205</v>
      </c>
      <c r="X110" s="189"/>
      <c r="Y110" s="187">
        <f>(units!$B$4*(units!$B$25*F110*1.2+units!$D$25*G110*1.2+units!$E$25*H110*1.2)+(F110*1.2*units!$B$33+G110*1.2*units!$D$33+H110*1.2*units!$E$33)+(F110*1.2*units!$B$37+G110*1.2*units!$D$37+H110*1.2*units!$E$37))</f>
        <v>7.729664907692307</v>
      </c>
      <c r="Z110" s="187">
        <f>units!$F$10*(((F110*1.2/units!$B$21)*60)+((G110*1.2/units!$D$21)*60)+((H110*1.2/units!$E$21)*60))/60</f>
        <v>0.9687321937321939</v>
      </c>
      <c r="AA110" s="187">
        <f>units!$H$10*(((F110*1.2/units!$B$21)*60)+((G110*1.2/units!$D$21)*60)+((H110*1.2/units!$E$21)*60))/60</f>
        <v>9.764309764309763</v>
      </c>
      <c r="AB110" s="187">
        <f t="shared" si="45"/>
        <v>4.6156767164335655</v>
      </c>
      <c r="AC110" s="187">
        <f t="shared" si="46"/>
        <v>3.461757537325174</v>
      </c>
      <c r="AD110" s="188">
        <f t="shared" si="47"/>
        <v>26.540141119493</v>
      </c>
      <c r="AE110" s="190"/>
      <c r="AF110" s="188">
        <f>IF(E110=units!$N$8,P110,"")</f>
      </c>
      <c r="AG110" s="188">
        <f>IF(E110=units!$M$8,W110,"")</f>
      </c>
      <c r="AH110" s="188">
        <f>IF(E110=units!$L$8,AD110,"")</f>
        <v>26.540141119493</v>
      </c>
      <c r="AI110" s="188">
        <f t="shared" si="48"/>
        <v>26.540141119493</v>
      </c>
      <c r="AJ110" s="199">
        <v>2</v>
      </c>
      <c r="AK110" s="255">
        <f t="shared" si="49"/>
        <v>53.080282238986</v>
      </c>
      <c r="AL110" s="256">
        <f t="shared" si="37"/>
        <v>9289.049391822551</v>
      </c>
      <c r="AM110" s="142"/>
      <c r="AN110" s="242"/>
      <c r="AO110" s="247"/>
    </row>
    <row r="111" spans="1:41" s="139" customFormat="1" ht="30">
      <c r="A111" s="294">
        <v>102</v>
      </c>
      <c r="B111" s="191" t="s">
        <v>189</v>
      </c>
      <c r="C111" s="182">
        <v>3</v>
      </c>
      <c r="D111" s="191" t="s">
        <v>280</v>
      </c>
      <c r="E111" s="192" t="str">
        <f>IF(ISNUMBER(C111),IF(C111&lt;=units!$L$7,units!$L$8,IF(C111&lt;=units!$N$7,units!$M$8,IF(C111&gt;units!$O$8,"OXI",units!$N$8))),"--")</f>
        <v>TAXI</v>
      </c>
      <c r="F111" s="183">
        <v>0</v>
      </c>
      <c r="G111" s="184">
        <v>0</v>
      </c>
      <c r="H111" s="185">
        <v>65</v>
      </c>
      <c r="I111" s="186">
        <f t="shared" si="38"/>
        <v>65</v>
      </c>
      <c r="J111" s="282"/>
      <c r="K111" s="277">
        <f>(units!$B$4*(F111*1.2*units!$B$23+G111*1.2*units!$D$23+H111*1.2*units!$E$23))+(F111*1.2*units!$B$31+G111*1.2*units!$D$31+H111*1.2*units!$E$31)+(F111*1.2*units!$B$35+G111*1.2*units!$D$35+H111*1.2*units!$E$35)</f>
        <v>99.5628737142857</v>
      </c>
      <c r="L111" s="187">
        <f>units!$F$8*((F111*1.2/units!$B$19)*60+((G111*1.2/units!$D$19)*60)+((H111*1.2/units!$E$19)*60))/60</f>
        <v>18.04166666666667</v>
      </c>
      <c r="M111" s="187">
        <f>units!$H$8*((F111*1.2/units!$B$19)*60+((G111*1.2/units!$D$19)*60)+((H111*1.2/units!$E$19)*60))/60</f>
        <v>33.766233766233775</v>
      </c>
      <c r="N111" s="187">
        <f t="shared" si="39"/>
        <v>37.84269353679654</v>
      </c>
      <c r="O111" s="187">
        <f t="shared" si="40"/>
        <v>28.382020152597402</v>
      </c>
      <c r="P111" s="188">
        <f t="shared" si="41"/>
        <v>217.59548783658008</v>
      </c>
      <c r="Q111" s="189"/>
      <c r="R111" s="187">
        <f>(F111*1.2*units!$B$36+G111*1.2*units!$D$36+H111*1.2*units!$E$36)+(F111*1.2*units!$B$32+G111*1.2*units!$D$32+H111*1.2*units!$E$32)+(units!$B$4*(F111*1.2*units!$B$24+G111*1.2*units!$D$24+H111*1.2*units!$E$24))</f>
        <v>43.941195428571426</v>
      </c>
      <c r="S111" s="187">
        <f>units!$F$9*(((F111*1.2/units!$B$20)*60)+((G111*1.2/units!$D$20)*60)+((H111*1.2/units!$E$20)*60))/60</f>
        <v>11.955357142857142</v>
      </c>
      <c r="T111" s="187">
        <f>units!$H$9*(((F111*1.2/units!$B$20)*60)+((G111*1.2/units!$D$20)*60)+((H111*1.2/units!$E$20)*60))/60</f>
        <v>33.766233766233775</v>
      </c>
      <c r="U111" s="187">
        <f t="shared" si="42"/>
        <v>22.415696584415585</v>
      </c>
      <c r="V111" s="187">
        <f t="shared" si="43"/>
        <v>16.81177243831169</v>
      </c>
      <c r="W111" s="188">
        <f t="shared" si="44"/>
        <v>128.8902553603896</v>
      </c>
      <c r="X111" s="189"/>
      <c r="Y111" s="187">
        <f>(units!$B$4*(units!$B$25*F111*1.2+units!$D$25*G111*1.2+units!$E$25*H111*1.2)+(F111*1.2*units!$B$33+G111*1.2*units!$D$33+H111*1.2*units!$E$33)+(F111*1.2*units!$B$37+G111*1.2*units!$D$37+H111*1.2*units!$E$37))</f>
        <v>17.325111</v>
      </c>
      <c r="Z111" s="187">
        <f>units!$F$10*(((F111*1.2/units!$B$21)*60)+((G111*1.2/units!$D$21)*60)+((H111*1.2/units!$E$21)*60))/60</f>
        <v>2.1712962962962967</v>
      </c>
      <c r="AA111" s="187">
        <f>units!$H$10*(((F111*1.2/units!$B$21)*60)+((G111*1.2/units!$D$21)*60)+((H111*1.2/units!$E$21)*60))/60</f>
        <v>21.885521885521886</v>
      </c>
      <c r="AB111" s="187">
        <f t="shared" si="45"/>
        <v>10.345482295454545</v>
      </c>
      <c r="AC111" s="187">
        <f t="shared" si="46"/>
        <v>7.759111721590909</v>
      </c>
      <c r="AD111" s="188">
        <f t="shared" si="47"/>
        <v>59.48652319886364</v>
      </c>
      <c r="AE111" s="190"/>
      <c r="AF111" s="188">
        <f>IF(E111=units!$N$8,P111,"")</f>
      </c>
      <c r="AG111" s="188">
        <f>IF(E111=units!$M$8,W111,"")</f>
      </c>
      <c r="AH111" s="188">
        <f>IF(E111=units!$L$8,AD111,"")</f>
        <v>59.48652319886364</v>
      </c>
      <c r="AI111" s="188">
        <f t="shared" si="48"/>
        <v>59.48652319886364</v>
      </c>
      <c r="AJ111" s="199">
        <v>2</v>
      </c>
      <c r="AK111" s="255">
        <f t="shared" si="49"/>
        <v>118.97304639772727</v>
      </c>
      <c r="AL111" s="256">
        <f t="shared" si="37"/>
        <v>20820.283119602274</v>
      </c>
      <c r="AM111" s="142"/>
      <c r="AN111" s="242"/>
      <c r="AO111" s="247"/>
    </row>
    <row r="112" spans="1:41" s="139" customFormat="1" ht="15.75">
      <c r="A112" s="294">
        <v>103</v>
      </c>
      <c r="B112" s="191" t="s">
        <v>189</v>
      </c>
      <c r="C112" s="182">
        <v>3</v>
      </c>
      <c r="D112" s="191" t="s">
        <v>191</v>
      </c>
      <c r="E112" s="192" t="str">
        <f>IF(ISNUMBER(C112),IF(C112&lt;=units!$L$7,units!$L$8,IF(C112&lt;=units!$N$7,units!$M$8,IF(C112&gt;units!$O$8,"OXI",units!$N$8))),"--")</f>
        <v>TAXI</v>
      </c>
      <c r="F112" s="183">
        <v>0</v>
      </c>
      <c r="G112" s="184">
        <v>0</v>
      </c>
      <c r="H112" s="185">
        <v>60</v>
      </c>
      <c r="I112" s="186">
        <f t="shared" si="38"/>
        <v>60</v>
      </c>
      <c r="J112" s="282"/>
      <c r="K112" s="277">
        <f>(units!$B$4*(F112*1.2*units!$B$23+G112*1.2*units!$D$23+H112*1.2*units!$E$23))+(F112*1.2*units!$B$31+G112*1.2*units!$D$31+H112*1.2*units!$E$31)+(F112*1.2*units!$B$35+G112*1.2*units!$D$35+H112*1.2*units!$E$35)</f>
        <v>91.90419112087913</v>
      </c>
      <c r="L112" s="187">
        <f>units!$F$8*((F112*1.2/units!$B$19)*60+((G112*1.2/units!$D$19)*60)+((H112*1.2/units!$E$19)*60))/60</f>
        <v>16.653846153846153</v>
      </c>
      <c r="M112" s="187">
        <f>units!$H$8*((F112*1.2/units!$B$19)*60+((G112*1.2/units!$D$19)*60)+((H112*1.2/units!$E$19)*60))/60</f>
        <v>31.16883116883117</v>
      </c>
      <c r="N112" s="187">
        <f t="shared" si="39"/>
        <v>34.93171711088911</v>
      </c>
      <c r="O112" s="187">
        <f t="shared" si="40"/>
        <v>26.198787833166833</v>
      </c>
      <c r="P112" s="188">
        <f t="shared" si="41"/>
        <v>200.85737338761237</v>
      </c>
      <c r="Q112" s="189"/>
      <c r="R112" s="187">
        <f>(F112*1.2*units!$B$36+G112*1.2*units!$D$36+H112*1.2*units!$E$36)+(F112*1.2*units!$B$32+G112*1.2*units!$D$32+H112*1.2*units!$E$32)+(units!$B$4*(F112*1.2*units!$B$24+G112*1.2*units!$D$24+H112*1.2*units!$E$24))</f>
        <v>40.56110347252748</v>
      </c>
      <c r="S112" s="187">
        <f>units!$F$9*(((F112*1.2/units!$B$20)*60)+((G112*1.2/units!$D$20)*60)+((H112*1.2/units!$E$20)*60))/60</f>
        <v>11.035714285714283</v>
      </c>
      <c r="T112" s="187">
        <f>units!$H$9*(((F112*1.2/units!$B$20)*60)+((G112*1.2/units!$D$20)*60)+((H112*1.2/units!$E$20)*60))/60</f>
        <v>31.16883116883117</v>
      </c>
      <c r="U112" s="187">
        <f t="shared" si="42"/>
        <v>20.691412231768233</v>
      </c>
      <c r="V112" s="187">
        <f t="shared" si="43"/>
        <v>15.518559173826173</v>
      </c>
      <c r="W112" s="188">
        <f t="shared" si="44"/>
        <v>118.97562033266733</v>
      </c>
      <c r="X112" s="189"/>
      <c r="Y112" s="187">
        <f>(units!$B$4*(units!$B$25*F112*1.2+units!$D$25*G112*1.2+units!$E$25*H112*1.2)+(F112*1.2*units!$B$33+G112*1.2*units!$D$33+H112*1.2*units!$E$33)+(F112*1.2*units!$B$37+G112*1.2*units!$D$37+H112*1.2*units!$E$37))</f>
        <v>15.992410153846153</v>
      </c>
      <c r="Z112" s="187">
        <f>units!$F$10*(((F112*1.2/units!$B$21)*60)+((G112*1.2/units!$D$21)*60)+((H112*1.2/units!$E$21)*60))/60</f>
        <v>2.0042735042735047</v>
      </c>
      <c r="AA112" s="187">
        <f>units!$H$10*(((F112*1.2/units!$B$21)*60)+((G112*1.2/units!$D$21)*60)+((H112*1.2/units!$E$21)*60))/60</f>
        <v>20.2020202020202</v>
      </c>
      <c r="AB112" s="187">
        <f t="shared" si="45"/>
        <v>9.549675965034965</v>
      </c>
      <c r="AC112" s="187">
        <f t="shared" si="46"/>
        <v>7.162256973776223</v>
      </c>
      <c r="AD112" s="188">
        <f t="shared" si="47"/>
        <v>54.910636798951046</v>
      </c>
      <c r="AE112" s="190"/>
      <c r="AF112" s="188">
        <f>IF(E112=units!$N$8,P112,"")</f>
      </c>
      <c r="AG112" s="188">
        <f>IF(E112=units!$M$8,W112,"")</f>
      </c>
      <c r="AH112" s="188">
        <f>IF(E112=units!$L$8,AD112,"")</f>
        <v>54.910636798951046</v>
      </c>
      <c r="AI112" s="188">
        <f t="shared" si="48"/>
        <v>54.910636798951046</v>
      </c>
      <c r="AJ112" s="199">
        <v>2</v>
      </c>
      <c r="AK112" s="255">
        <f t="shared" si="49"/>
        <v>109.82127359790209</v>
      </c>
      <c r="AL112" s="256">
        <f t="shared" si="37"/>
        <v>19218.722879632867</v>
      </c>
      <c r="AM112" s="142"/>
      <c r="AN112" s="242"/>
      <c r="AO112" s="247"/>
    </row>
    <row r="113" spans="1:41" s="139" customFormat="1" ht="15.75">
      <c r="A113" s="294">
        <v>104</v>
      </c>
      <c r="B113" s="191" t="s">
        <v>189</v>
      </c>
      <c r="C113" s="182">
        <v>2</v>
      </c>
      <c r="D113" s="191" t="s">
        <v>196</v>
      </c>
      <c r="E113" s="192" t="str">
        <f>IF(ISNUMBER(C113),IF(C113&lt;=units!$L$7,units!$L$8,IF(C113&lt;=units!$N$7,units!$M$8,IF(C113&gt;units!$O$8,"OXI",units!$N$8))),"--")</f>
        <v>TAXI</v>
      </c>
      <c r="F113" s="183">
        <v>0</v>
      </c>
      <c r="G113" s="184">
        <v>0</v>
      </c>
      <c r="H113" s="185">
        <v>55</v>
      </c>
      <c r="I113" s="186">
        <f t="shared" si="38"/>
        <v>55</v>
      </c>
      <c r="J113" s="282"/>
      <c r="K113" s="277">
        <f>(units!$B$4*(F113*1.2*units!$B$23+G113*1.2*units!$D$23+H113*1.2*units!$E$23))+(F113*1.2*units!$B$31+G113*1.2*units!$D$31+H113*1.2*units!$E$31)+(F113*1.2*units!$B$35+G113*1.2*units!$D$35+H113*1.2*units!$E$35)</f>
        <v>84.24550852747252</v>
      </c>
      <c r="L113" s="187">
        <f>units!$F$8*((F113*1.2/units!$B$19)*60+((G113*1.2/units!$D$19)*60)+((H113*1.2/units!$E$19)*60))/60</f>
        <v>15.266025641025642</v>
      </c>
      <c r="M113" s="187">
        <f>units!$H$8*((F113*1.2/units!$B$19)*60+((G113*1.2/units!$D$19)*60)+((H113*1.2/units!$E$19)*60))/60</f>
        <v>28.57142857142857</v>
      </c>
      <c r="N113" s="187">
        <f t="shared" si="39"/>
        <v>32.02074068498169</v>
      </c>
      <c r="O113" s="187">
        <f t="shared" si="40"/>
        <v>24.015555513736267</v>
      </c>
      <c r="P113" s="188">
        <f t="shared" si="41"/>
        <v>184.11925893864472</v>
      </c>
      <c r="Q113" s="189"/>
      <c r="R113" s="187">
        <f>(F113*1.2*units!$B$36+G113*1.2*units!$D$36+H113*1.2*units!$E$36)+(F113*1.2*units!$B$32+G113*1.2*units!$D$32+H113*1.2*units!$E$32)+(units!$B$4*(F113*1.2*units!$B$24+G113*1.2*units!$D$24+H113*1.2*units!$E$24))</f>
        <v>37.18101151648352</v>
      </c>
      <c r="S113" s="187">
        <f>units!$F$9*(((F113*1.2/units!$B$20)*60)+((G113*1.2/units!$D$20)*60)+((H113*1.2/units!$E$20)*60))/60</f>
        <v>10.116071428571427</v>
      </c>
      <c r="T113" s="187">
        <f>units!$H$9*(((F113*1.2/units!$B$20)*60)+((G113*1.2/units!$D$20)*60)+((H113*1.2/units!$E$20)*60))/60</f>
        <v>28.57142857142857</v>
      </c>
      <c r="U113" s="187">
        <f t="shared" si="42"/>
        <v>18.96712787912088</v>
      </c>
      <c r="V113" s="187">
        <f t="shared" si="43"/>
        <v>14.22534590934066</v>
      </c>
      <c r="W113" s="188">
        <f t="shared" si="44"/>
        <v>109.06098530494506</v>
      </c>
      <c r="X113" s="189"/>
      <c r="Y113" s="187">
        <f>(units!$B$4*(units!$B$25*F113*1.2+units!$D$25*G113*1.2+units!$E$25*H113*1.2)+(F113*1.2*units!$B$33+G113*1.2*units!$D$33+H113*1.2*units!$E$33)+(F113*1.2*units!$B$37+G113*1.2*units!$D$37+H113*1.2*units!$E$37))</f>
        <v>14.659709307692308</v>
      </c>
      <c r="Z113" s="187">
        <f>units!$F$10*(((F113*1.2/units!$B$21)*60)+((G113*1.2/units!$D$21)*60)+((H113*1.2/units!$E$21)*60))/60</f>
        <v>1.8372507122507125</v>
      </c>
      <c r="AA113" s="187">
        <f>units!$H$10*(((F113*1.2/units!$B$21)*60)+((G113*1.2/units!$D$21)*60)+((H113*1.2/units!$E$21)*60))/60</f>
        <v>18.51851851851852</v>
      </c>
      <c r="AB113" s="187">
        <f t="shared" si="45"/>
        <v>8.753869634615384</v>
      </c>
      <c r="AC113" s="187">
        <f t="shared" si="46"/>
        <v>6.565402225961538</v>
      </c>
      <c r="AD113" s="188">
        <f t="shared" si="47"/>
        <v>50.334750399038455</v>
      </c>
      <c r="AE113" s="190"/>
      <c r="AF113" s="188">
        <f>IF(E113=units!$N$8,P113,"")</f>
      </c>
      <c r="AG113" s="188">
        <f>IF(E113=units!$M$8,W113,"")</f>
      </c>
      <c r="AH113" s="188">
        <f>IF(E113=units!$L$8,AD113,"")</f>
        <v>50.334750399038455</v>
      </c>
      <c r="AI113" s="188">
        <f t="shared" si="48"/>
        <v>50.334750399038455</v>
      </c>
      <c r="AJ113" s="199">
        <v>2</v>
      </c>
      <c r="AK113" s="255">
        <f t="shared" si="49"/>
        <v>100.66950079807691</v>
      </c>
      <c r="AL113" s="256">
        <f t="shared" si="37"/>
        <v>17617.16263966346</v>
      </c>
      <c r="AM113" s="142"/>
      <c r="AN113" s="242"/>
      <c r="AO113" s="247"/>
    </row>
    <row r="114" spans="1:41" s="139" customFormat="1" ht="15.75">
      <c r="A114" s="294">
        <v>105</v>
      </c>
      <c r="B114" s="191" t="s">
        <v>189</v>
      </c>
      <c r="C114" s="182">
        <v>2</v>
      </c>
      <c r="D114" s="191" t="s">
        <v>200</v>
      </c>
      <c r="E114" s="192" t="str">
        <f>IF(ISNUMBER(C114),IF(C114&lt;=units!$L$7,units!$L$8,IF(C114&lt;=units!$N$7,units!$M$8,IF(C114&gt;units!$O$8,"OXI",units!$N$8))),"--")</f>
        <v>TAXI</v>
      </c>
      <c r="F114" s="183">
        <v>4</v>
      </c>
      <c r="G114" s="184">
        <v>0</v>
      </c>
      <c r="H114" s="185">
        <v>24</v>
      </c>
      <c r="I114" s="186">
        <f t="shared" si="38"/>
        <v>28</v>
      </c>
      <c r="J114" s="282"/>
      <c r="K114" s="277">
        <f>(units!$B$4*(F114*1.2*units!$B$23+G114*1.2*units!$D$23+H114*1.2*units!$E$23))+(F114*1.2*units!$B$31+G114*1.2*units!$D$31+H114*1.2*units!$E$31)+(F114*1.2*units!$B$35+G114*1.2*units!$D$35+H114*1.2*units!$E$35)</f>
        <v>42.978378356043955</v>
      </c>
      <c r="L114" s="187">
        <f>units!$F$8*((F114*1.2/units!$B$19)*60+((G114*1.2/units!$D$19)*60)+((H114*1.2/units!$E$19)*60))/60</f>
        <v>9.252136752136753</v>
      </c>
      <c r="M114" s="187">
        <f>units!$H$8*((F114*1.2/units!$B$19)*60+((G114*1.2/units!$D$19)*60)+((H114*1.2/units!$E$19)*60))/60</f>
        <v>17.31601731601732</v>
      </c>
      <c r="N114" s="187">
        <f t="shared" si="39"/>
        <v>17.38663310604951</v>
      </c>
      <c r="O114" s="187">
        <f t="shared" si="40"/>
        <v>13.039974829537131</v>
      </c>
      <c r="P114" s="188">
        <f t="shared" si="41"/>
        <v>99.97314035978468</v>
      </c>
      <c r="Q114" s="189"/>
      <c r="R114" s="187">
        <f>(F114*1.2*units!$B$36+G114*1.2*units!$D$36+H114*1.2*units!$E$36)+(F114*1.2*units!$B$32+G114*1.2*units!$D$32+H114*1.2*units!$E$32)+(units!$B$4*(F114*1.2*units!$B$24+G114*1.2*units!$D$24+H114*1.2*units!$E$24))</f>
        <v>19.24575874285714</v>
      </c>
      <c r="S114" s="187">
        <f>units!$F$9*(((F114*1.2/units!$B$20)*60)+((G114*1.2/units!$D$20)*60)+((H114*1.2/units!$E$20)*60))/60</f>
        <v>5.844841269841269</v>
      </c>
      <c r="T114" s="187">
        <f>units!$H$9*(((F114*1.2/units!$B$20)*60)+((G114*1.2/units!$D$20)*60)+((H114*1.2/units!$E$20)*60))/60</f>
        <v>16.50793650793651</v>
      </c>
      <c r="U114" s="187">
        <f t="shared" si="42"/>
        <v>10.39963413015873</v>
      </c>
      <c r="V114" s="187">
        <f t="shared" si="43"/>
        <v>7.799725597619048</v>
      </c>
      <c r="W114" s="188">
        <f t="shared" si="44"/>
        <v>59.7978962484127</v>
      </c>
      <c r="X114" s="189"/>
      <c r="Y114" s="187">
        <f>(units!$B$4*(units!$B$25*F114*1.2+units!$D$25*G114*1.2+units!$E$25*H114*1.2)+(F114*1.2*units!$B$33+G114*1.2*units!$D$33+H114*1.2*units!$E$33)+(F114*1.2*units!$B$37+G114*1.2*units!$D$37+H114*1.2*units!$E$37))</f>
        <v>7.435601076923076</v>
      </c>
      <c r="Z114" s="187">
        <f>units!$F$10*(((F114*1.2/units!$B$21)*60)+((G114*1.2/units!$D$21)*60)+((H114*1.2/units!$E$21)*60))/60</f>
        <v>1.0021367521367521</v>
      </c>
      <c r="AA114" s="187">
        <f>units!$H$10*(((F114*1.2/units!$B$21)*60)+((G114*1.2/units!$D$21)*60)+((H114*1.2/units!$E$21)*60))/60</f>
        <v>10.1010101010101</v>
      </c>
      <c r="AB114" s="187">
        <f t="shared" si="45"/>
        <v>4.634686982517482</v>
      </c>
      <c r="AC114" s="187">
        <f t="shared" si="46"/>
        <v>3.4760152368881116</v>
      </c>
      <c r="AD114" s="188">
        <f t="shared" si="47"/>
        <v>26.649450149475523</v>
      </c>
      <c r="AE114" s="190"/>
      <c r="AF114" s="188">
        <f>IF(E114=units!$N$8,P114,"")</f>
      </c>
      <c r="AG114" s="188">
        <f>IF(E114=units!$M$8,W114,"")</f>
      </c>
      <c r="AH114" s="188">
        <f>IF(E114=units!$L$8,AD114,"")</f>
        <v>26.649450149475523</v>
      </c>
      <c r="AI114" s="188">
        <f t="shared" si="48"/>
        <v>26.649450149475523</v>
      </c>
      <c r="AJ114" s="199">
        <v>2</v>
      </c>
      <c r="AK114" s="255">
        <f t="shared" si="49"/>
        <v>53.29890029895105</v>
      </c>
      <c r="AL114" s="256">
        <f t="shared" si="37"/>
        <v>9327.307552316433</v>
      </c>
      <c r="AM114" s="142"/>
      <c r="AN114" s="242"/>
      <c r="AO114" s="247"/>
    </row>
    <row r="115" spans="1:41" s="139" customFormat="1" ht="15.75">
      <c r="A115" s="294">
        <v>106</v>
      </c>
      <c r="B115" s="191" t="s">
        <v>282</v>
      </c>
      <c r="C115" s="231">
        <v>4</v>
      </c>
      <c r="D115" s="191" t="s">
        <v>281</v>
      </c>
      <c r="E115" s="192" t="str">
        <f>IF(ISNUMBER(C115),IF(C115&lt;=units!$L$7,units!$L$8,IF(C115&lt;=units!$N$7,units!$M$8,IF(C115&gt;units!$O$8,"OXI",units!$N$8))),"--")</f>
        <v>TAXI</v>
      </c>
      <c r="F115" s="183">
        <v>2</v>
      </c>
      <c r="G115" s="184">
        <v>0</v>
      </c>
      <c r="H115" s="185">
        <v>18</v>
      </c>
      <c r="I115" s="186">
        <f t="shared" si="38"/>
        <v>20</v>
      </c>
      <c r="J115" s="282"/>
      <c r="K115" s="277">
        <f>(units!$B$4*(F115*1.2*units!$B$23+G115*1.2*units!$D$23+H115*1.2*units!$E$23))+(F115*1.2*units!$B$31+G115*1.2*units!$D$31+H115*1.2*units!$E$31)+(F115*1.2*units!$B$35+G115*1.2*units!$D$35+H115*1.2*units!$E$35)</f>
        <v>30.679608290109886</v>
      </c>
      <c r="L115" s="187">
        <f>units!$F$8*((F115*1.2/units!$B$19)*60+((G115*1.2/units!$D$19)*60)+((H115*1.2/units!$E$19)*60))/60</f>
        <v>6.291452991452991</v>
      </c>
      <c r="M115" s="187">
        <f>units!$H$8*((F115*1.2/units!$B$19)*60+((G115*1.2/units!$D$19)*60)+((H115*1.2/units!$E$19)*60))/60</f>
        <v>11.774891774891776</v>
      </c>
      <c r="N115" s="187">
        <f t="shared" si="39"/>
        <v>12.186488264113663</v>
      </c>
      <c r="O115" s="187">
        <f t="shared" si="40"/>
        <v>9.139866198085247</v>
      </c>
      <c r="P115" s="188">
        <f t="shared" si="41"/>
        <v>70.07230751865356</v>
      </c>
      <c r="Q115" s="189"/>
      <c r="R115" s="187">
        <f>(F115*1.2*units!$B$36+G115*1.2*units!$D$36+H115*1.2*units!$E$36)+(F115*1.2*units!$B$32+G115*1.2*units!$D$32+H115*1.2*units!$E$32)+(units!$B$4*(F115*1.2*units!$B$24+G115*1.2*units!$D$24+H115*1.2*units!$E$24))</f>
        <v>13.678989718681319</v>
      </c>
      <c r="S115" s="187">
        <f>units!$F$9*(((F115*1.2/units!$B$20)*60)+((G115*1.2/units!$D$20)*60)+((H115*1.2/units!$E$20)*60))/60</f>
        <v>4.025992063492063</v>
      </c>
      <c r="T115" s="187">
        <f>units!$H$9*(((F115*1.2/units!$B$20)*60)+((G115*1.2/units!$D$20)*60)+((H115*1.2/units!$E$20)*60))/60</f>
        <v>11.370851370851371</v>
      </c>
      <c r="U115" s="187">
        <f t="shared" si="42"/>
        <v>7.268958288256188</v>
      </c>
      <c r="V115" s="187">
        <f t="shared" si="43"/>
        <v>5.451718716192141</v>
      </c>
      <c r="W115" s="188">
        <f t="shared" si="44"/>
        <v>41.79651015747308</v>
      </c>
      <c r="X115" s="189"/>
      <c r="Y115" s="187">
        <f>(units!$B$4*(units!$B$25*F115*1.2+units!$D$25*G115*1.2+units!$E$25*H115*1.2)+(F115*1.2*units!$B$33+G115*1.2*units!$D$33+H115*1.2*units!$E$33)+(F115*1.2*units!$B$37+G115*1.2*units!$D$37+H115*1.2*units!$E$37))</f>
        <v>5.3170415538461535</v>
      </c>
      <c r="Z115" s="187">
        <f>units!$F$10*(((F115*1.2/units!$B$21)*60)+((G115*1.2/units!$D$21)*60)+((H115*1.2/units!$E$21)*60))/60</f>
        <v>0.7014957264957266</v>
      </c>
      <c r="AA115" s="187">
        <f>units!$H$10*(((F115*1.2/units!$B$21)*60)+((G115*1.2/units!$D$21)*60)+((H115*1.2/units!$E$21)*60))/60</f>
        <v>7.07070707070707</v>
      </c>
      <c r="AB115" s="187">
        <f t="shared" si="45"/>
        <v>3.2723110877622377</v>
      </c>
      <c r="AC115" s="187">
        <f t="shared" si="46"/>
        <v>2.454233315821678</v>
      </c>
      <c r="AD115" s="188">
        <f t="shared" si="47"/>
        <v>18.815788754632866</v>
      </c>
      <c r="AE115" s="190"/>
      <c r="AF115" s="188">
        <f>IF(E115=units!$N$8,P115,"")</f>
      </c>
      <c r="AG115" s="188">
        <f>IF(E115=units!$M$8,W115,"")</f>
      </c>
      <c r="AH115" s="188">
        <f>IF(E115=units!$L$8,AD115,"")</f>
        <v>18.815788754632866</v>
      </c>
      <c r="AI115" s="188">
        <f t="shared" si="48"/>
        <v>18.815788754632866</v>
      </c>
      <c r="AJ115" s="199">
        <v>6</v>
      </c>
      <c r="AK115" s="255">
        <f t="shared" si="49"/>
        <v>112.8947325277972</v>
      </c>
      <c r="AL115" s="256">
        <f t="shared" si="37"/>
        <v>19756.57819236451</v>
      </c>
      <c r="AM115" s="142"/>
      <c r="AN115" s="242"/>
      <c r="AO115" s="247"/>
    </row>
    <row r="116" spans="1:41" s="139" customFormat="1" ht="15.75">
      <c r="A116" s="294">
        <v>107</v>
      </c>
      <c r="B116" s="191" t="s">
        <v>283</v>
      </c>
      <c r="C116" s="182">
        <v>6</v>
      </c>
      <c r="D116" s="191" t="s">
        <v>186</v>
      </c>
      <c r="E116" s="192" t="str">
        <f>IF(ISNUMBER(C116),IF(C116&lt;=units!$L$7,units!$L$8,IF(C116&lt;=units!$N$7,units!$M$8,IF(C116&gt;units!$O$8,"OXI",units!$N$8))),"--")</f>
        <v>TAXI</v>
      </c>
      <c r="F116" s="183">
        <v>10</v>
      </c>
      <c r="G116" s="184">
        <v>0</v>
      </c>
      <c r="H116" s="185">
        <v>0</v>
      </c>
      <c r="I116" s="186">
        <f t="shared" si="38"/>
        <v>10</v>
      </c>
      <c r="J116" s="282"/>
      <c r="K116" s="277">
        <f>(units!$B$4*(F116*1.2*units!$B$23+G116*1.2*units!$D$23+H116*1.2*units!$E$23))+(F116*1.2*units!$B$31+G116*1.2*units!$D$31+H116*1.2*units!$E$31)+(F116*1.2*units!$B$35+G116*1.2*units!$D$35+H116*1.2*units!$E$35)</f>
        <v>15.541754769230769</v>
      </c>
      <c r="L116" s="187">
        <f>units!$F$8*((F116*1.2/units!$B$19)*60+((G116*1.2/units!$D$19)*60)+((H116*1.2/units!$E$19)*60))/60</f>
        <v>6.4764957264957275</v>
      </c>
      <c r="M116" s="187">
        <f>units!$H$8*((F116*1.2/units!$B$19)*60+((G116*1.2/units!$D$19)*60)+((H116*1.2/units!$E$19)*60))/60</f>
        <v>12.121212121212121</v>
      </c>
      <c r="N116" s="187">
        <f t="shared" si="39"/>
        <v>8.534865654234654</v>
      </c>
      <c r="O116" s="187">
        <f t="shared" si="40"/>
        <v>6.40114924067599</v>
      </c>
      <c r="P116" s="188">
        <f t="shared" si="41"/>
        <v>49.07547751184926</v>
      </c>
      <c r="Q116" s="189"/>
      <c r="R116" s="187">
        <f>(F116*1.2*units!$B$36+G116*1.2*units!$D$36+H116*1.2*units!$E$36)+(F116*1.2*units!$B$32+G116*1.2*units!$D$32+H116*1.2*units!$E$32)+(units!$B$4*(F116*1.2*units!$B$24+G116*1.2*units!$D$24+H116*1.2*units!$E$24))</f>
        <v>7.553293384615384</v>
      </c>
      <c r="S116" s="187">
        <f>units!$F$9*(((F116*1.2/units!$B$20)*60)+((G116*1.2/units!$D$20)*60)+((H116*1.2/units!$E$20)*60))/60</f>
        <v>3.5763888888888884</v>
      </c>
      <c r="T116" s="187">
        <f>units!$H$9*(((F116*1.2/units!$B$20)*60)+((G116*1.2/units!$D$20)*60)+((H116*1.2/units!$E$20)*60))/60</f>
        <v>10.101010101010102</v>
      </c>
      <c r="U116" s="187">
        <f t="shared" si="42"/>
        <v>5.307673093628594</v>
      </c>
      <c r="V116" s="187">
        <f t="shared" si="43"/>
        <v>3.9807548202214456</v>
      </c>
      <c r="W116" s="188">
        <f t="shared" si="44"/>
        <v>30.519120288364416</v>
      </c>
      <c r="X116" s="189"/>
      <c r="Y116" s="187">
        <f>(units!$B$4*(units!$B$25*F116*1.2+units!$D$25*G116*1.2+units!$E$25*H116*1.2)+(F116*1.2*units!$B$33+G116*1.2*units!$D$33+H116*1.2*units!$E$33)+(F116*1.2*units!$B$37+G116*1.2*units!$D$37+H116*1.2*units!$E$37))</f>
        <v>2.5965925384615383</v>
      </c>
      <c r="Z116" s="187">
        <f>units!$F$10*(((F116*1.2/units!$B$21)*60)+((G116*1.2/units!$D$21)*60)+((H116*1.2/units!$E$21)*60))/60</f>
        <v>0.5010683760683762</v>
      </c>
      <c r="AA116" s="187">
        <f>units!$H$10*(((F116*1.2/units!$B$21)*60)+((G116*1.2/units!$D$21)*60)+((H116*1.2/units!$E$21)*60))/60</f>
        <v>5.05050505050505</v>
      </c>
      <c r="AB116" s="187">
        <f t="shared" si="45"/>
        <v>2.037041491258741</v>
      </c>
      <c r="AC116" s="187">
        <f t="shared" si="46"/>
        <v>1.5277811184440557</v>
      </c>
      <c r="AD116" s="188">
        <f t="shared" si="47"/>
        <v>11.71298857473776</v>
      </c>
      <c r="AE116" s="190"/>
      <c r="AF116" s="188">
        <f>IF(E116=units!$N$8,P116,"")</f>
      </c>
      <c r="AG116" s="188">
        <f>IF(E116=units!$M$8,W116,"")</f>
      </c>
      <c r="AH116" s="188">
        <f>IF(E116=units!$L$8,AD116,"")</f>
        <v>11.71298857473776</v>
      </c>
      <c r="AI116" s="188">
        <f t="shared" si="48"/>
        <v>11.71298857473776</v>
      </c>
      <c r="AJ116" s="199">
        <v>4</v>
      </c>
      <c r="AK116" s="255">
        <f t="shared" si="49"/>
        <v>46.85195429895104</v>
      </c>
      <c r="AL116" s="256">
        <f t="shared" si="37"/>
        <v>8199.092002316433</v>
      </c>
      <c r="AM116" s="142"/>
      <c r="AN116" s="242"/>
      <c r="AO116" s="247"/>
    </row>
    <row r="117" spans="1:41" s="139" customFormat="1" ht="15.75">
      <c r="A117" s="294">
        <v>108</v>
      </c>
      <c r="B117" s="191" t="s">
        <v>194</v>
      </c>
      <c r="C117" s="200">
        <v>1</v>
      </c>
      <c r="D117" s="191" t="s">
        <v>195</v>
      </c>
      <c r="E117" s="192" t="str">
        <f>IF(ISNUMBER(C117),IF(C117&lt;=units!$L$7,units!$L$8,IF(C117&lt;=units!$N$7,units!$M$8,IF(C117&gt;units!$O$8,"OXI",units!$N$8))),"--")</f>
        <v>TAXI</v>
      </c>
      <c r="F117" s="183">
        <v>0</v>
      </c>
      <c r="G117" s="184">
        <v>0</v>
      </c>
      <c r="H117" s="185">
        <v>96</v>
      </c>
      <c r="I117" s="186">
        <f t="shared" si="38"/>
        <v>96</v>
      </c>
      <c r="J117" s="282"/>
      <c r="K117" s="277">
        <f>(units!$B$4*(F117*1.2*units!$B$23+G117*1.2*units!$D$23+H117*1.2*units!$E$23))+(F117*1.2*units!$B$31+G117*1.2*units!$D$31+H117*1.2*units!$E$31)+(F117*1.2*units!$B$35+G117*1.2*units!$D$35+H117*1.2*units!$E$35)</f>
        <v>147.0467057934066</v>
      </c>
      <c r="L117" s="187">
        <f>units!$F$8*((F117*1.2/units!$B$19)*60+((G117*1.2/units!$D$19)*60)+((H117*1.2/units!$E$19)*60))/60</f>
        <v>26.646153846153847</v>
      </c>
      <c r="M117" s="187">
        <f>units!$H$8*((F117*1.2/units!$B$19)*60+((G117*1.2/units!$D$19)*60)+((H117*1.2/units!$E$19)*60))/60</f>
        <v>49.870129870129865</v>
      </c>
      <c r="N117" s="187">
        <f t="shared" si="39"/>
        <v>55.89074737742258</v>
      </c>
      <c r="O117" s="187">
        <f t="shared" si="40"/>
        <v>41.91806053306693</v>
      </c>
      <c r="P117" s="188">
        <f t="shared" si="41"/>
        <v>321.3717974201798</v>
      </c>
      <c r="Q117" s="189"/>
      <c r="R117" s="187">
        <f>(F117*1.2*units!$B$36+G117*1.2*units!$D$36+H117*1.2*units!$E$36)+(F117*1.2*units!$B$32+G117*1.2*units!$D$32+H117*1.2*units!$E$32)+(units!$B$4*(F117*1.2*units!$B$24+G117*1.2*units!$D$24+H117*1.2*units!$E$24))</f>
        <v>64.89776555604395</v>
      </c>
      <c r="S117" s="187">
        <f>units!$F$9*(((F117*1.2/units!$B$20)*60)+((G117*1.2/units!$D$20)*60)+((H117*1.2/units!$E$20)*60))/60</f>
        <v>17.657142857142855</v>
      </c>
      <c r="T117" s="187">
        <f>units!$H$9*(((F117*1.2/units!$B$20)*60)+((G117*1.2/units!$D$20)*60)+((H117*1.2/units!$E$20)*60))/60</f>
        <v>49.870129870129865</v>
      </c>
      <c r="U117" s="187">
        <f t="shared" si="42"/>
        <v>33.10625957082917</v>
      </c>
      <c r="V117" s="187">
        <f t="shared" si="43"/>
        <v>24.829694678121875</v>
      </c>
      <c r="W117" s="188">
        <f t="shared" si="44"/>
        <v>190.36099253226772</v>
      </c>
      <c r="X117" s="189"/>
      <c r="Y117" s="187">
        <f>(units!$B$4*(units!$B$25*F117*1.2+units!$D$25*G117*1.2+units!$E$25*H117*1.2)+(F117*1.2*units!$B$33+G117*1.2*units!$D$33+H117*1.2*units!$E$33)+(F117*1.2*units!$B$37+G117*1.2*units!$D$37+H117*1.2*units!$E$37))</f>
        <v>25.587856246153844</v>
      </c>
      <c r="Z117" s="187">
        <f>units!$F$10*(((F117*1.2/units!$B$21)*60)+((G117*1.2/units!$D$21)*60)+((H117*1.2/units!$E$21)*60))/60</f>
        <v>3.206837606837607</v>
      </c>
      <c r="AA117" s="187">
        <f>units!$H$10*(((F117*1.2/units!$B$21)*60)+((G117*1.2/units!$D$21)*60)+((H117*1.2/units!$E$21)*60))/60</f>
        <v>32.32323232323232</v>
      </c>
      <c r="AB117" s="187">
        <f t="shared" si="45"/>
        <v>15.279481544055942</v>
      </c>
      <c r="AC117" s="187">
        <f t="shared" si="46"/>
        <v>11.459611158041957</v>
      </c>
      <c r="AD117" s="188">
        <f t="shared" si="47"/>
        <v>87.85701887832167</v>
      </c>
      <c r="AE117" s="190"/>
      <c r="AF117" s="188">
        <f>IF(E117=units!$N$8,P117,"")</f>
      </c>
      <c r="AG117" s="188">
        <f>IF(E117=units!$M$8,W117,"")</f>
      </c>
      <c r="AH117" s="188">
        <f>IF(E117=units!$L$8,AD117,"")</f>
        <v>87.85701887832167</v>
      </c>
      <c r="AI117" s="188">
        <f t="shared" si="48"/>
        <v>87.85701887832167</v>
      </c>
      <c r="AJ117" s="199">
        <v>2</v>
      </c>
      <c r="AK117" s="258">
        <f t="shared" si="49"/>
        <v>175.71403775664334</v>
      </c>
      <c r="AL117" s="256">
        <f t="shared" si="37"/>
        <v>30749.956607412583</v>
      </c>
      <c r="AM117" s="142"/>
      <c r="AN117" s="242"/>
      <c r="AO117" s="247"/>
    </row>
    <row r="118" spans="1:41" ht="15.75">
      <c r="A118" s="294">
        <v>109</v>
      </c>
      <c r="B118" s="191" t="s">
        <v>284</v>
      </c>
      <c r="C118" s="231">
        <v>4</v>
      </c>
      <c r="D118" s="191" t="s">
        <v>233</v>
      </c>
      <c r="E118" s="192" t="str">
        <f>IF(ISNUMBER(C118),IF(C118&lt;=units!$L$7,units!$L$8,IF(C118&lt;=units!$N$7,units!$M$8,IF(C118&gt;units!$O$8,"OXI",units!$N$8))),"--")</f>
        <v>TAXI</v>
      </c>
      <c r="F118" s="183">
        <v>5</v>
      </c>
      <c r="G118" s="184">
        <v>0</v>
      </c>
      <c r="H118" s="185">
        <v>0</v>
      </c>
      <c r="I118" s="186">
        <f t="shared" si="38"/>
        <v>5</v>
      </c>
      <c r="J118" s="282"/>
      <c r="K118" s="277">
        <f>(units!$B$4*(F118*1.2*units!$B$23+G118*1.2*units!$D$23+H118*1.2*units!$E$23))+(F118*1.2*units!$B$31+G118*1.2*units!$D$31+H118*1.2*units!$E$31)+(F118*1.2*units!$B$35+G118*1.2*units!$D$35+H118*1.2*units!$E$35)</f>
        <v>7.7708773846153845</v>
      </c>
      <c r="L118" s="187">
        <f>units!$F$8*((F118*1.2/units!$B$19)*60+((G118*1.2/units!$D$19)*60)+((H118*1.2/units!$E$19)*60))/60</f>
        <v>3.2382478632478637</v>
      </c>
      <c r="M118" s="187">
        <f>units!$H$8*((F118*1.2/units!$B$19)*60+((G118*1.2/units!$D$19)*60)+((H118*1.2/units!$E$19)*60))/60</f>
        <v>6.0606060606060606</v>
      </c>
      <c r="N118" s="187">
        <f t="shared" si="39"/>
        <v>4.267432827117327</v>
      </c>
      <c r="O118" s="187">
        <f t="shared" si="40"/>
        <v>3.200574620337995</v>
      </c>
      <c r="P118" s="188">
        <f t="shared" si="41"/>
        <v>24.53773875592463</v>
      </c>
      <c r="Q118" s="189"/>
      <c r="R118" s="187">
        <f>(F118*1.2*units!$B$36+G118*1.2*units!$D$36+H118*1.2*units!$E$36)+(F118*1.2*units!$B$32+G118*1.2*units!$D$32+H118*1.2*units!$E$32)+(units!$B$4*(F118*1.2*units!$B$24+G118*1.2*units!$D$24+H118*1.2*units!$E$24))</f>
        <v>3.776646692307692</v>
      </c>
      <c r="S118" s="187">
        <f>units!$F$9*(((F118*1.2/units!$B$20)*60)+((G118*1.2/units!$D$20)*60)+((H118*1.2/units!$E$20)*60))/60</f>
        <v>1.7881944444444442</v>
      </c>
      <c r="T118" s="187">
        <f>units!$H$9*(((F118*1.2/units!$B$20)*60)+((G118*1.2/units!$D$20)*60)+((H118*1.2/units!$E$20)*60))/60</f>
        <v>5.050505050505051</v>
      </c>
      <c r="U118" s="187">
        <f t="shared" si="42"/>
        <v>2.653836546814297</v>
      </c>
      <c r="V118" s="187">
        <f t="shared" si="43"/>
        <v>1.9903774101107228</v>
      </c>
      <c r="W118" s="188">
        <f t="shared" si="44"/>
        <v>15.259560144182208</v>
      </c>
      <c r="X118" s="189"/>
      <c r="Y118" s="187">
        <f>(units!$B$4*(units!$B$25*F118*1.2+units!$D$25*G118*1.2+units!$E$25*H118*1.2)+(F118*1.2*units!$B$33+G118*1.2*units!$D$33+H118*1.2*units!$E$33)+(F118*1.2*units!$B$37+G118*1.2*units!$D$37+H118*1.2*units!$E$37))</f>
        <v>1.2982962692307691</v>
      </c>
      <c r="Z118" s="187">
        <f>units!$F$10*(((F118*1.2/units!$B$21)*60)+((G118*1.2/units!$D$21)*60)+((H118*1.2/units!$E$21)*60))/60</f>
        <v>0.2505341880341881</v>
      </c>
      <c r="AA118" s="187">
        <f>units!$H$10*(((F118*1.2/units!$B$21)*60)+((G118*1.2/units!$D$21)*60)+((H118*1.2/units!$E$21)*60))/60</f>
        <v>2.525252525252525</v>
      </c>
      <c r="AB118" s="187">
        <f t="shared" si="45"/>
        <v>1.0185207456293706</v>
      </c>
      <c r="AC118" s="187">
        <f t="shared" si="46"/>
        <v>0.7638905592220279</v>
      </c>
      <c r="AD118" s="188">
        <f t="shared" si="47"/>
        <v>5.85649428736888</v>
      </c>
      <c r="AE118" s="190"/>
      <c r="AF118" s="188">
        <f>IF(E118=units!$N$8,P118,"")</f>
      </c>
      <c r="AG118" s="188">
        <f>IF(E118=units!$M$8,W118,"")</f>
      </c>
      <c r="AH118" s="188">
        <f>IF(E118=units!$L$8,AD118,"")</f>
        <v>5.85649428736888</v>
      </c>
      <c r="AI118" s="188">
        <f t="shared" si="48"/>
        <v>5.85649428736888</v>
      </c>
      <c r="AJ118" s="180">
        <v>8</v>
      </c>
      <c r="AK118" s="255">
        <f t="shared" si="49"/>
        <v>46.85195429895104</v>
      </c>
      <c r="AL118" s="256">
        <f t="shared" si="37"/>
        <v>8199.092002316433</v>
      </c>
      <c r="AM118" s="144"/>
      <c r="AN118" s="242"/>
      <c r="AO118" s="144"/>
    </row>
    <row r="119" spans="1:41" ht="15.75">
      <c r="A119" s="294">
        <v>110</v>
      </c>
      <c r="B119" s="191" t="s">
        <v>286</v>
      </c>
      <c r="C119" s="182">
        <v>1</v>
      </c>
      <c r="D119" s="191" t="s">
        <v>287</v>
      </c>
      <c r="E119" s="192" t="str">
        <f>IF(ISNUMBER(C119),IF(C119&lt;=units!$L$7,units!$L$8,IF(C119&lt;=units!$N$7,units!$M$8,IF(C119&gt;units!$O$8,"OXI",units!$N$8))),"--")</f>
        <v>TAXI</v>
      </c>
      <c r="F119" s="183">
        <v>2</v>
      </c>
      <c r="G119" s="184">
        <v>0</v>
      </c>
      <c r="H119" s="185">
        <v>0</v>
      </c>
      <c r="I119" s="186">
        <f t="shared" si="38"/>
        <v>2</v>
      </c>
      <c r="J119" s="282"/>
      <c r="K119" s="277">
        <f>(units!$B$4*(F119*1.2*units!$B$23+G119*1.2*units!$D$23+H119*1.2*units!$E$23))+(F119*1.2*units!$B$31+G119*1.2*units!$D$31+H119*1.2*units!$E$31)+(F119*1.2*units!$B$35+G119*1.2*units!$D$35+H119*1.2*units!$E$35)</f>
        <v>3.108350953846154</v>
      </c>
      <c r="L119" s="187">
        <f>units!$F$8*((F119*1.2/units!$B$19)*60+((G119*1.2/units!$D$19)*60)+((H119*1.2/units!$E$19)*60))/60</f>
        <v>1.2952991452991456</v>
      </c>
      <c r="M119" s="187">
        <f>units!$H$8*((F119*1.2/units!$B$19)*60+((G119*1.2/units!$D$19)*60)+((H119*1.2/units!$E$19)*60))/60</f>
        <v>2.4242424242424243</v>
      </c>
      <c r="N119" s="187">
        <f t="shared" si="39"/>
        <v>1.7069731308469307</v>
      </c>
      <c r="O119" s="187">
        <f t="shared" si="40"/>
        <v>1.2802298481351981</v>
      </c>
      <c r="P119" s="188">
        <f t="shared" si="41"/>
        <v>9.815095502369852</v>
      </c>
      <c r="Q119" s="189"/>
      <c r="R119" s="187">
        <f>(F119*1.2*units!$B$36+G119*1.2*units!$D$36+H119*1.2*units!$E$36)+(F119*1.2*units!$B$32+G119*1.2*units!$D$32+H119*1.2*units!$E$32)+(units!$B$4*(F119*1.2*units!$B$24+G119*1.2*units!$D$24+H119*1.2*units!$E$24))</f>
        <v>1.5106586769230768</v>
      </c>
      <c r="S119" s="187">
        <f>units!$F$9*(((F119*1.2/units!$B$20)*60)+((G119*1.2/units!$D$20)*60)+((H119*1.2/units!$E$20)*60))/60</f>
        <v>0.7152777777777778</v>
      </c>
      <c r="T119" s="187">
        <f>units!$H$9*(((F119*1.2/units!$B$20)*60)+((G119*1.2/units!$D$20)*60)+((H119*1.2/units!$E$20)*60))/60</f>
        <v>2.0202020202020203</v>
      </c>
      <c r="U119" s="187">
        <f t="shared" si="42"/>
        <v>1.0615346187257186</v>
      </c>
      <c r="V119" s="187">
        <f t="shared" si="43"/>
        <v>0.796150964044289</v>
      </c>
      <c r="W119" s="188">
        <f t="shared" si="44"/>
        <v>6.103824057672882</v>
      </c>
      <c r="X119" s="189"/>
      <c r="Y119" s="187">
        <f>(units!$B$4*(units!$B$25*F119*1.2+units!$D$25*G119*1.2+units!$E$25*H119*1.2)+(F119*1.2*units!$B$33+G119*1.2*units!$D$33+H119*1.2*units!$E$33)+(F119*1.2*units!$B$37+G119*1.2*units!$D$37+H119*1.2*units!$E$37))</f>
        <v>0.5193185076923077</v>
      </c>
      <c r="Z119" s="187">
        <f>units!$F$10*(((F119*1.2/units!$B$21)*60)+((G119*1.2/units!$D$21)*60)+((H119*1.2/units!$E$21)*60))/60</f>
        <v>0.10021367521367523</v>
      </c>
      <c r="AA119" s="187">
        <f>units!$H$10*(((F119*1.2/units!$B$21)*60)+((G119*1.2/units!$D$21)*60)+((H119*1.2/units!$E$21)*60))/60</f>
        <v>1.01010101010101</v>
      </c>
      <c r="AB119" s="187">
        <f t="shared" si="45"/>
        <v>0.4074082982517482</v>
      </c>
      <c r="AC119" s="187">
        <f t="shared" si="46"/>
        <v>0.3055562236888111</v>
      </c>
      <c r="AD119" s="188">
        <f t="shared" si="47"/>
        <v>2.342597714947552</v>
      </c>
      <c r="AE119" s="190"/>
      <c r="AF119" s="188">
        <f>IF(E119=units!$N$8,P119,"")</f>
      </c>
      <c r="AG119" s="188">
        <f>IF(E119=units!$M$8,W119,"")</f>
      </c>
      <c r="AH119" s="188">
        <f>IF(E119=units!$L$8,AD119,"")</f>
        <v>2.342597714947552</v>
      </c>
      <c r="AI119" s="188">
        <f t="shared" si="48"/>
        <v>2.342597714947552</v>
      </c>
      <c r="AJ119" s="199">
        <v>2</v>
      </c>
      <c r="AK119" s="255">
        <f t="shared" si="49"/>
        <v>4.685195429895104</v>
      </c>
      <c r="AL119" s="256">
        <f t="shared" si="37"/>
        <v>819.9092002316431</v>
      </c>
      <c r="AM119" s="144"/>
      <c r="AN119" s="144"/>
      <c r="AO119" s="144"/>
    </row>
    <row r="120" spans="1:41" ht="30">
      <c r="A120" s="294">
        <v>111</v>
      </c>
      <c r="B120" s="191" t="s">
        <v>288</v>
      </c>
      <c r="C120" s="182">
        <v>3</v>
      </c>
      <c r="D120" s="191" t="s">
        <v>289</v>
      </c>
      <c r="E120" s="192" t="str">
        <f>IF(ISNUMBER(C120),IF(C120&lt;=units!$L$7,units!$L$8,IF(C120&lt;=units!$N$7,units!$M$8,IF(C120&gt;units!$O$8,"OXI",units!$N$8))),"--")</f>
        <v>TAXI</v>
      </c>
      <c r="F120" s="183">
        <v>7</v>
      </c>
      <c r="G120" s="184">
        <v>0</v>
      </c>
      <c r="H120" s="185">
        <v>0</v>
      </c>
      <c r="I120" s="186">
        <f t="shared" si="38"/>
        <v>7</v>
      </c>
      <c r="J120" s="282"/>
      <c r="K120" s="277">
        <f>(units!$B$4*(F120*1.2*units!$B$23+G120*1.2*units!$D$23+H120*1.2*units!$E$23))+(F120*1.2*units!$B$31+G120*1.2*units!$D$31+H120*1.2*units!$E$31)+(F120*1.2*units!$B$35+G120*1.2*units!$D$35+H120*1.2*units!$E$35)</f>
        <v>10.87922833846154</v>
      </c>
      <c r="L120" s="187">
        <f>units!$F$8*((F120*1.2/units!$B$19)*60+((G120*1.2/units!$D$19)*60)+((H120*1.2/units!$E$19)*60))/60</f>
        <v>4.533547008547009</v>
      </c>
      <c r="M120" s="187">
        <f>units!$H$8*((F120*1.2/units!$B$19)*60+((G120*1.2/units!$D$19)*60)+((H120*1.2/units!$E$19)*60))/60</f>
        <v>8.484848484848486</v>
      </c>
      <c r="N120" s="187">
        <f t="shared" si="39"/>
        <v>5.974405957964258</v>
      </c>
      <c r="O120" s="187">
        <f t="shared" si="40"/>
        <v>4.480804468473194</v>
      </c>
      <c r="P120" s="188">
        <f t="shared" si="41"/>
        <v>34.352834258294486</v>
      </c>
      <c r="Q120" s="189"/>
      <c r="R120" s="187">
        <f>(F120*1.2*units!$B$36+G120*1.2*units!$D$36+H120*1.2*units!$E$36)+(F120*1.2*units!$B$32+G120*1.2*units!$D$32+H120*1.2*units!$E$32)+(units!$B$4*(F120*1.2*units!$B$24+G120*1.2*units!$D$24+H120*1.2*units!$E$24))</f>
        <v>5.287305369230769</v>
      </c>
      <c r="S120" s="187">
        <f>units!$F$9*(((F120*1.2/units!$B$20)*60)+((G120*1.2/units!$D$20)*60)+((H120*1.2/units!$E$20)*60))/60</f>
        <v>2.503472222222222</v>
      </c>
      <c r="T120" s="187">
        <f>units!$H$9*(((F120*1.2/units!$B$20)*60)+((G120*1.2/units!$D$20)*60)+((H120*1.2/units!$E$20)*60))/60</f>
        <v>7.070707070707071</v>
      </c>
      <c r="U120" s="187">
        <f t="shared" si="42"/>
        <v>3.7153711655400157</v>
      </c>
      <c r="V120" s="187">
        <f t="shared" si="43"/>
        <v>2.786528374155012</v>
      </c>
      <c r="W120" s="188">
        <f t="shared" si="44"/>
        <v>21.36338420185509</v>
      </c>
      <c r="X120" s="189"/>
      <c r="Y120" s="187">
        <f>(units!$B$4*(units!$B$25*F120*1.2+units!$D$25*G120*1.2+units!$E$25*H120*1.2)+(F120*1.2*units!$B$33+G120*1.2*units!$D$33+H120*1.2*units!$E$33)+(F120*1.2*units!$B$37+G120*1.2*units!$D$37+H120*1.2*units!$E$37))</f>
        <v>1.8176147769230768</v>
      </c>
      <c r="Z120" s="187">
        <f>units!$F$10*(((F120*1.2/units!$B$21)*60)+((G120*1.2/units!$D$21)*60)+((H120*1.2/units!$E$21)*60))/60</f>
        <v>0.35074786324786333</v>
      </c>
      <c r="AA120" s="187">
        <f>units!$H$10*(((F120*1.2/units!$B$21)*60)+((G120*1.2/units!$D$21)*60)+((H120*1.2/units!$E$21)*60))/60</f>
        <v>3.5353535353535355</v>
      </c>
      <c r="AB120" s="187">
        <f t="shared" si="45"/>
        <v>1.425929043881119</v>
      </c>
      <c r="AC120" s="187">
        <f t="shared" si="46"/>
        <v>1.0694467829108392</v>
      </c>
      <c r="AD120" s="188">
        <f t="shared" si="47"/>
        <v>8.199092002316434</v>
      </c>
      <c r="AE120" s="190"/>
      <c r="AF120" s="188">
        <f>IF(E120=units!$N$8,P120,"")</f>
      </c>
      <c r="AG120" s="188">
        <f>IF(E120=units!$M$8,W120,"")</f>
      </c>
      <c r="AH120" s="188">
        <f>IF(E120=units!$L$8,AD120,"")</f>
        <v>8.199092002316434</v>
      </c>
      <c r="AI120" s="188">
        <f t="shared" si="48"/>
        <v>8.199092002316434</v>
      </c>
      <c r="AJ120" s="199">
        <v>10</v>
      </c>
      <c r="AK120" s="255">
        <f t="shared" si="49"/>
        <v>81.99092002316434</v>
      </c>
      <c r="AL120" s="256">
        <f t="shared" si="37"/>
        <v>14348.411004053758</v>
      </c>
      <c r="AM120" s="144"/>
      <c r="AN120" s="144"/>
      <c r="AO120" s="144"/>
    </row>
    <row r="121" spans="1:41" ht="15.75">
      <c r="A121" s="294">
        <v>112</v>
      </c>
      <c r="B121" s="191" t="s">
        <v>291</v>
      </c>
      <c r="C121" s="231">
        <v>4</v>
      </c>
      <c r="D121" s="191" t="s">
        <v>290</v>
      </c>
      <c r="E121" s="192" t="str">
        <f>IF(ISNUMBER(C121),IF(C121&lt;=units!$L$7,units!$L$8,IF(C121&lt;=units!$N$7,units!$M$8,IF(C121&gt;units!$O$8,"OXI",units!$N$8))),"--")</f>
        <v>TAXI</v>
      </c>
      <c r="F121" s="183">
        <v>0</v>
      </c>
      <c r="G121" s="184">
        <v>0</v>
      </c>
      <c r="H121" s="185">
        <v>24</v>
      </c>
      <c r="I121" s="186">
        <f t="shared" si="38"/>
        <v>24</v>
      </c>
      <c r="J121" s="282"/>
      <c r="K121" s="277">
        <f>(units!$B$4*(F121*1.2*units!$B$23+G121*1.2*units!$D$23+H121*1.2*units!$E$23))+(F121*1.2*units!$B$31+G121*1.2*units!$D$31+H121*1.2*units!$E$31)+(F121*1.2*units!$B$35+G121*1.2*units!$D$35+H121*1.2*units!$E$35)</f>
        <v>36.76167644835165</v>
      </c>
      <c r="L121" s="187">
        <f>units!$F$8*((F121*1.2/units!$B$19)*60+((G121*1.2/units!$D$19)*60)+((H121*1.2/units!$E$19)*60))/60</f>
        <v>6.661538461538462</v>
      </c>
      <c r="M121" s="187">
        <f>units!$H$8*((F121*1.2/units!$B$19)*60+((G121*1.2/units!$D$19)*60)+((H121*1.2/units!$E$19)*60))/60</f>
        <v>12.467532467532466</v>
      </c>
      <c r="N121" s="187">
        <f t="shared" si="39"/>
        <v>13.972686844355644</v>
      </c>
      <c r="O121" s="187">
        <f t="shared" si="40"/>
        <v>10.479515133266732</v>
      </c>
      <c r="P121" s="188">
        <f t="shared" si="41"/>
        <v>80.34294935504495</v>
      </c>
      <c r="Q121" s="189"/>
      <c r="R121" s="187">
        <f>(F121*1.2*units!$B$36+G121*1.2*units!$D$36+H121*1.2*units!$E$36)+(F121*1.2*units!$B$32+G121*1.2*units!$D$32+H121*1.2*units!$E$32)+(units!$B$4*(F121*1.2*units!$B$24+G121*1.2*units!$D$24+H121*1.2*units!$E$24))</f>
        <v>16.224441389010988</v>
      </c>
      <c r="S121" s="187">
        <f>units!$F$9*(((F121*1.2/units!$B$20)*60)+((G121*1.2/units!$D$20)*60)+((H121*1.2/units!$E$20)*60))/60</f>
        <v>4.414285714285714</v>
      </c>
      <c r="T121" s="187">
        <f>units!$H$9*(((F121*1.2/units!$B$20)*60)+((G121*1.2/units!$D$20)*60)+((H121*1.2/units!$E$20)*60))/60</f>
        <v>12.467532467532466</v>
      </c>
      <c r="U121" s="187">
        <f t="shared" si="42"/>
        <v>8.276564892707292</v>
      </c>
      <c r="V121" s="187">
        <f t="shared" si="43"/>
        <v>6.207423669530469</v>
      </c>
      <c r="W121" s="188">
        <f t="shared" si="44"/>
        <v>47.59024813306693</v>
      </c>
      <c r="X121" s="189"/>
      <c r="Y121" s="187">
        <f>(units!$B$4*(units!$B$25*F121*1.2+units!$D$25*G121*1.2+units!$E$25*H121*1.2)+(F121*1.2*units!$B$33+G121*1.2*units!$D$33+H121*1.2*units!$E$33)+(F121*1.2*units!$B$37+G121*1.2*units!$D$37+H121*1.2*units!$E$37))</f>
        <v>6.396964061538461</v>
      </c>
      <c r="Z121" s="187">
        <f>units!$F$10*(((F121*1.2/units!$B$21)*60)+((G121*1.2/units!$D$21)*60)+((H121*1.2/units!$E$21)*60))/60</f>
        <v>0.8017094017094017</v>
      </c>
      <c r="AA121" s="187">
        <f>units!$H$10*(((F121*1.2/units!$B$21)*60)+((G121*1.2/units!$D$21)*60)+((H121*1.2/units!$E$21)*60))/60</f>
        <v>8.08080808080808</v>
      </c>
      <c r="AB121" s="187">
        <f t="shared" si="45"/>
        <v>3.8198703860139855</v>
      </c>
      <c r="AC121" s="187">
        <f t="shared" si="46"/>
        <v>2.8649027895104893</v>
      </c>
      <c r="AD121" s="188">
        <f t="shared" si="47"/>
        <v>21.964254719580417</v>
      </c>
      <c r="AE121" s="190"/>
      <c r="AF121" s="188">
        <f>IF(E121=units!$N$8,P121,"")</f>
      </c>
      <c r="AG121" s="188">
        <f>IF(E121=units!$M$8,W121,"")</f>
      </c>
      <c r="AH121" s="188">
        <f>IF(E121=units!$L$8,AD121,"")</f>
        <v>21.964254719580417</v>
      </c>
      <c r="AI121" s="188">
        <f t="shared" si="48"/>
        <v>21.964254719580417</v>
      </c>
      <c r="AJ121" s="199">
        <v>6</v>
      </c>
      <c r="AK121" s="255">
        <f t="shared" si="49"/>
        <v>131.7855283174825</v>
      </c>
      <c r="AL121" s="256">
        <f t="shared" si="37"/>
        <v>23062.467455559436</v>
      </c>
      <c r="AM121" s="144"/>
      <c r="AN121" s="144"/>
      <c r="AO121" s="144"/>
    </row>
    <row r="122" spans="1:41" ht="15.75">
      <c r="A122" s="294">
        <v>113</v>
      </c>
      <c r="B122" s="191" t="s">
        <v>292</v>
      </c>
      <c r="C122" s="182">
        <v>3</v>
      </c>
      <c r="D122" s="191" t="s">
        <v>293</v>
      </c>
      <c r="E122" s="192" t="str">
        <f>IF(ISNUMBER(C122),IF(C122&lt;=units!$L$7,units!$L$8,IF(C122&lt;=units!$N$7,units!$M$8,IF(C122&gt;units!$O$8,"OXI",units!$N$8))),"--")</f>
        <v>TAXI</v>
      </c>
      <c r="F122" s="183">
        <v>0</v>
      </c>
      <c r="G122" s="184">
        <v>0</v>
      </c>
      <c r="H122" s="185">
        <v>18</v>
      </c>
      <c r="I122" s="186">
        <f t="shared" si="38"/>
        <v>18</v>
      </c>
      <c r="J122" s="282"/>
      <c r="K122" s="277">
        <f>(units!$B$4*(F122*1.2*units!$B$23+G122*1.2*units!$D$23+H122*1.2*units!$E$23))+(F122*1.2*units!$B$31+G122*1.2*units!$D$31+H122*1.2*units!$E$31)+(F122*1.2*units!$B$35+G122*1.2*units!$D$35+H122*1.2*units!$E$35)</f>
        <v>27.571257336263734</v>
      </c>
      <c r="L122" s="187">
        <f>units!$F$8*((F122*1.2/units!$B$19)*60+((G122*1.2/units!$D$19)*60)+((H122*1.2/units!$E$19)*60))/60</f>
        <v>4.996153846153846</v>
      </c>
      <c r="M122" s="187">
        <f>units!$H$8*((F122*1.2/units!$B$19)*60+((G122*1.2/units!$D$19)*60)+((H122*1.2/units!$E$19)*60))/60</f>
        <v>9.35064935064935</v>
      </c>
      <c r="N122" s="187">
        <f t="shared" si="39"/>
        <v>10.479515133266732</v>
      </c>
      <c r="O122" s="187">
        <f t="shared" si="40"/>
        <v>7.859636349950049</v>
      </c>
      <c r="P122" s="188">
        <f t="shared" si="41"/>
        <v>60.25721201628371</v>
      </c>
      <c r="Q122" s="189"/>
      <c r="R122" s="187">
        <f>(F122*1.2*units!$B$36+G122*1.2*units!$D$36+H122*1.2*units!$E$36)+(F122*1.2*units!$B$32+G122*1.2*units!$D$32+H122*1.2*units!$E$32)+(units!$B$4*(F122*1.2*units!$B$24+G122*1.2*units!$D$24+H122*1.2*units!$E$24))</f>
        <v>12.16833104175824</v>
      </c>
      <c r="S122" s="187">
        <f>units!$F$9*(((F122*1.2/units!$B$20)*60)+((G122*1.2/units!$D$20)*60)+((H122*1.2/units!$E$20)*60))/60</f>
        <v>3.310714285714285</v>
      </c>
      <c r="T122" s="187">
        <f>units!$H$9*(((F122*1.2/units!$B$20)*60)+((G122*1.2/units!$D$20)*60)+((H122*1.2/units!$E$20)*60))/60</f>
        <v>9.35064935064935</v>
      </c>
      <c r="U122" s="187">
        <f t="shared" si="42"/>
        <v>6.207423669530469</v>
      </c>
      <c r="V122" s="187">
        <f t="shared" si="43"/>
        <v>4.655567752147852</v>
      </c>
      <c r="W122" s="188">
        <f t="shared" si="44"/>
        <v>35.6926860998002</v>
      </c>
      <c r="X122" s="189"/>
      <c r="Y122" s="187">
        <f>(units!$B$4*(units!$B$25*F122*1.2+units!$D$25*G122*1.2+units!$E$25*H122*1.2)+(F122*1.2*units!$B$33+G122*1.2*units!$D$33+H122*1.2*units!$E$33)+(F122*1.2*units!$B$37+G122*1.2*units!$D$37+H122*1.2*units!$E$37))</f>
        <v>4.797723046153846</v>
      </c>
      <c r="Z122" s="187">
        <f>units!$F$10*(((F122*1.2/units!$B$21)*60)+((G122*1.2/units!$D$21)*60)+((H122*1.2/units!$E$21)*60))/60</f>
        <v>0.6012820512820514</v>
      </c>
      <c r="AA122" s="187">
        <f>units!$H$10*(((F122*1.2/units!$B$21)*60)+((G122*1.2/units!$D$21)*60)+((H122*1.2/units!$E$21)*60))/60</f>
        <v>6.0606060606060606</v>
      </c>
      <c r="AB122" s="187">
        <f t="shared" si="45"/>
        <v>2.8649027895104893</v>
      </c>
      <c r="AC122" s="187">
        <f t="shared" si="46"/>
        <v>2.148677092132867</v>
      </c>
      <c r="AD122" s="188">
        <f t="shared" si="47"/>
        <v>16.473191039685315</v>
      </c>
      <c r="AE122" s="190"/>
      <c r="AF122" s="188">
        <f>IF(E122=units!$N$8,P122,"")</f>
      </c>
      <c r="AG122" s="188">
        <f>IF(E122=units!$M$8,W122,"")</f>
      </c>
      <c r="AH122" s="188">
        <f>IF(E122=units!$L$8,AD122,"")</f>
        <v>16.473191039685315</v>
      </c>
      <c r="AI122" s="188">
        <f t="shared" si="48"/>
        <v>16.473191039685315</v>
      </c>
      <c r="AJ122" s="199">
        <v>2</v>
      </c>
      <c r="AK122" s="255">
        <f t="shared" si="49"/>
        <v>32.94638207937063</v>
      </c>
      <c r="AL122" s="256">
        <f t="shared" si="37"/>
        <v>5765.61686388986</v>
      </c>
      <c r="AM122" s="144"/>
      <c r="AN122" s="144"/>
      <c r="AO122" s="144"/>
    </row>
    <row r="123" spans="1:41" ht="15.75">
      <c r="A123" s="294">
        <v>114</v>
      </c>
      <c r="B123" s="191" t="s">
        <v>292</v>
      </c>
      <c r="C123" s="182">
        <v>2</v>
      </c>
      <c r="D123" s="191" t="s">
        <v>294</v>
      </c>
      <c r="E123" s="192" t="str">
        <f>IF(ISNUMBER(C123),IF(C123&lt;=units!$L$7,units!$L$8,IF(C123&lt;=units!$N$7,units!$M$8,IF(C123&gt;units!$O$8,"OXI",units!$N$8))),"--")</f>
        <v>TAXI</v>
      </c>
      <c r="F123" s="183">
        <v>0</v>
      </c>
      <c r="G123" s="184">
        <v>35</v>
      </c>
      <c r="H123" s="185">
        <v>0</v>
      </c>
      <c r="I123" s="186">
        <f aca="true" t="shared" si="50" ref="I123:I135">IF(SUM(F123:H123)=0,"--",SUM(F123:H123))</f>
        <v>35</v>
      </c>
      <c r="J123" s="282"/>
      <c r="K123" s="277">
        <f>(units!$B$4*(F123*1.2*units!$B$23+G123*1.2*units!$D$23+H123*1.2*units!$E$23))+(F123*1.2*units!$B$31+G123*1.2*units!$D$31+H123*1.2*units!$E$31)+(F123*1.2*units!$B$35+G123*1.2*units!$D$35+H123*1.2*units!$E$35)</f>
        <v>33.989133230769234</v>
      </c>
      <c r="L123" s="187">
        <f>units!$F$8*((F123*1.2/units!$B$19)*60+((G123*1.2/units!$D$19)*60)+((H123*1.2/units!$E$19)*60))/60</f>
        <v>7.555911680911682</v>
      </c>
      <c r="M123" s="187">
        <f>units!$H$8*((F123*1.2/units!$B$19)*60+((G123*1.2/units!$D$19)*60)+((H123*1.2/units!$E$19)*60))/60</f>
        <v>14.141414141414142</v>
      </c>
      <c r="N123" s="187">
        <f aca="true" t="shared" si="51" ref="N123:N135">0.25*(K123+L123+M123)</f>
        <v>13.921614763273766</v>
      </c>
      <c r="O123" s="187">
        <f aca="true" t="shared" si="52" ref="O123:O135">0.15*(K123+L123+M123+N123)</f>
        <v>10.441211072455324</v>
      </c>
      <c r="P123" s="188">
        <f aca="true" t="shared" si="53" ref="P123:P135">SUM(K123:O123)</f>
        <v>80.04928488882416</v>
      </c>
      <c r="Q123" s="189"/>
      <c r="R123" s="187">
        <f>(F123*1.2*units!$B$36+G123*1.2*units!$D$36+H123*1.2*units!$E$36)+(F123*1.2*units!$B$32+G123*1.2*units!$D$32+H123*1.2*units!$E$32)+(units!$B$4*(F123*1.2*units!$B$24+G123*1.2*units!$D$24+H123*1.2*units!$E$24))</f>
        <v>18.49242553846154</v>
      </c>
      <c r="S123" s="187">
        <f>units!$F$9*(((F123*1.2/units!$B$20)*60)+((G123*1.2/units!$D$20)*60)+((H123*1.2/units!$E$20)*60))/60</f>
        <v>5.006944444444444</v>
      </c>
      <c r="T123" s="187">
        <f>units!$H$9*(((F123*1.2/units!$B$20)*60)+((G123*1.2/units!$D$20)*60)+((H123*1.2/units!$E$20)*60))/60</f>
        <v>14.141414141414142</v>
      </c>
      <c r="U123" s="187">
        <f aca="true" t="shared" si="54" ref="U123:U135">0.25*(R123+S123+T123)</f>
        <v>9.41019603108003</v>
      </c>
      <c r="V123" s="187">
        <f aca="true" t="shared" si="55" ref="V123:V135">0.15*(R123+S123+T123+U123)</f>
        <v>7.057647023310023</v>
      </c>
      <c r="W123" s="188">
        <f aca="true" t="shared" si="56" ref="W123:W135">SUM(R123:V123)</f>
        <v>54.10862717871018</v>
      </c>
      <c r="X123" s="189"/>
      <c r="Y123" s="187">
        <f>(units!$B$4*(units!$B$25*F123*1.2+units!$D$25*G123*1.2+units!$E$25*H123*1.2)+(F123*1.2*units!$B$33+G123*1.2*units!$D$33+H123*1.2*units!$E$33)+(F123*1.2*units!$B$37+G123*1.2*units!$D$37+H123*1.2*units!$E$37))</f>
        <v>7.978049937062936</v>
      </c>
      <c r="Z123" s="187">
        <f>units!$F$10*(((F123*1.2/units!$B$21)*60)+((G123*1.2/units!$D$21)*60)+((H123*1.2/units!$E$21)*60))/60</f>
        <v>0.9565850815850818</v>
      </c>
      <c r="AA123" s="187">
        <f>units!$H$10*(((F123*1.2/units!$B$21)*60)+((G123*1.2/units!$D$21)*60)+((H123*1.2/units!$E$21)*60))/60</f>
        <v>9.641873278236915</v>
      </c>
      <c r="AB123" s="187">
        <f aca="true" t="shared" si="57" ref="AB123:AB135">0.25*(Y123+Z123+AA123)</f>
        <v>4.644127074221233</v>
      </c>
      <c r="AC123" s="187">
        <f aca="true" t="shared" si="58" ref="AC123:AC135">0.15*(Y123+Z123+AA123+AB123)</f>
        <v>3.483095305665924</v>
      </c>
      <c r="AD123" s="188">
        <f aca="true" t="shared" si="59" ref="AD123:AD135">SUM(Y123:AC123)</f>
        <v>26.703730676772086</v>
      </c>
      <c r="AE123" s="190"/>
      <c r="AF123" s="188">
        <f>IF(E123=units!$N$8,P123,"")</f>
      </c>
      <c r="AG123" s="188">
        <f>IF(E123=units!$M$8,W123,"")</f>
      </c>
      <c r="AH123" s="188">
        <f>IF(E123=units!$L$8,AD123,"")</f>
        <v>26.703730676772086</v>
      </c>
      <c r="AI123" s="188">
        <f aca="true" t="shared" si="60" ref="AI123:AI135">IF(SUM(AF123:AH123)&gt;0,SUM(AF123:AH123),"")</f>
        <v>26.703730676772086</v>
      </c>
      <c r="AJ123" s="199">
        <v>2</v>
      </c>
      <c r="AK123" s="255">
        <f aca="true" t="shared" si="61" ref="AK123:AK135">AI123*AJ123</f>
        <v>53.40746135354417</v>
      </c>
      <c r="AL123" s="256">
        <f t="shared" si="37"/>
        <v>9346.30573687023</v>
      </c>
      <c r="AM123" s="144"/>
      <c r="AN123" s="144"/>
      <c r="AO123" s="144"/>
    </row>
    <row r="124" spans="1:41" ht="15.75">
      <c r="A124" s="294">
        <v>115</v>
      </c>
      <c r="B124" s="191" t="s">
        <v>295</v>
      </c>
      <c r="C124" s="182">
        <v>29</v>
      </c>
      <c r="D124" s="191" t="s">
        <v>296</v>
      </c>
      <c r="E124" s="192" t="str">
        <f>IF(ISNUMBER(C124),IF(C124&lt;=units!$L$7,units!$L$8,IF(C124&lt;=units!$N$7,units!$M$8,IF(C124&gt;units!$O$8,"OXI",units!$N$8))),"--")</f>
        <v>BUS</v>
      </c>
      <c r="F124" s="183"/>
      <c r="G124" s="184">
        <v>40</v>
      </c>
      <c r="H124" s="185"/>
      <c r="I124" s="186">
        <f t="shared" si="50"/>
        <v>40</v>
      </c>
      <c r="J124" s="282"/>
      <c r="K124" s="277">
        <f>(units!$B$4*(F124*1.2*units!$B$23+G124*1.2*units!$D$23+H124*1.2*units!$E$23))+(F124*1.2*units!$B$31+G124*1.2*units!$D$31+H124*1.2*units!$E$31)+(F124*1.2*units!$B$35+G124*1.2*units!$D$35+H124*1.2*units!$E$35)</f>
        <v>38.844723692307696</v>
      </c>
      <c r="L124" s="187">
        <f>units!$F$8*((F124*1.2/units!$B$19)*60+((G124*1.2/units!$D$19)*60)+((H124*1.2/units!$E$19)*60))/60</f>
        <v>8.635327635327636</v>
      </c>
      <c r="M124" s="187">
        <f>units!$H$8*((F124*1.2/units!$B$19)*60+((G124*1.2/units!$D$19)*60)+((H124*1.2/units!$E$19)*60))/60</f>
        <v>16.161616161616163</v>
      </c>
      <c r="N124" s="187">
        <f t="shared" si="51"/>
        <v>15.910416872312872</v>
      </c>
      <c r="O124" s="187">
        <f t="shared" si="52"/>
        <v>11.932812654234654</v>
      </c>
      <c r="P124" s="188">
        <f t="shared" si="53"/>
        <v>91.48489701579902</v>
      </c>
      <c r="Q124" s="189"/>
      <c r="R124" s="187">
        <f>(F124*1.2*units!$B$36+G124*1.2*units!$D$36+H124*1.2*units!$E$36)+(F124*1.2*units!$B$32+G124*1.2*units!$D$32+H124*1.2*units!$E$32)+(units!$B$4*(F124*1.2*units!$B$24+G124*1.2*units!$D$24+H124*1.2*units!$E$24))</f>
        <v>21.134200615384614</v>
      </c>
      <c r="S124" s="187">
        <f>units!$F$9*(((F124*1.2/units!$B$20)*60)+((G124*1.2/units!$D$20)*60)+((H124*1.2/units!$E$20)*60))/60</f>
        <v>5.722222222222222</v>
      </c>
      <c r="T124" s="187">
        <f>units!$H$9*(((F124*1.2/units!$B$20)*60)+((G124*1.2/units!$D$20)*60)+((H124*1.2/units!$E$20)*60))/60</f>
        <v>16.161616161616163</v>
      </c>
      <c r="U124" s="187">
        <f t="shared" si="54"/>
        <v>10.754509749805749</v>
      </c>
      <c r="V124" s="187">
        <f t="shared" si="55"/>
        <v>8.065882312354312</v>
      </c>
      <c r="W124" s="188">
        <f t="shared" si="56"/>
        <v>61.838431061383055</v>
      </c>
      <c r="X124" s="189"/>
      <c r="Y124" s="187">
        <f>(units!$B$4*(units!$B$25*F124*1.2+units!$D$25*G124*1.2+units!$E$25*H124*1.2)+(F124*1.2*units!$B$33+G124*1.2*units!$D$33+H124*1.2*units!$E$33)+(F124*1.2*units!$B$37+G124*1.2*units!$D$37+H124*1.2*units!$E$37))</f>
        <v>9.117771356643356</v>
      </c>
      <c r="Z124" s="187">
        <f>units!$F$10*(((F124*1.2/units!$B$21)*60)+((G124*1.2/units!$D$21)*60)+((H124*1.2/units!$E$21)*60))/60</f>
        <v>1.0932400932400934</v>
      </c>
      <c r="AA124" s="187">
        <f>units!$H$10*(((F124*1.2/units!$B$21)*60)+((G124*1.2/units!$D$21)*60)+((H124*1.2/units!$E$21)*60))/60</f>
        <v>11.019283746556473</v>
      </c>
      <c r="AB124" s="187">
        <f t="shared" si="57"/>
        <v>5.3075737991099805</v>
      </c>
      <c r="AC124" s="187">
        <f t="shared" si="58"/>
        <v>3.980680349332485</v>
      </c>
      <c r="AD124" s="188">
        <f t="shared" si="59"/>
        <v>30.518549344882388</v>
      </c>
      <c r="AE124" s="190"/>
      <c r="AF124" s="188">
        <f>IF(E124=units!$N$8,P124,"")</f>
        <v>91.48489701579902</v>
      </c>
      <c r="AG124" s="188">
        <f>IF(E124=units!$M$8,W124,"")</f>
      </c>
      <c r="AH124" s="188">
        <f>IF(E124=units!$L$8,AD124,"")</f>
      </c>
      <c r="AI124" s="188">
        <f t="shared" si="60"/>
        <v>91.48489701579902</v>
      </c>
      <c r="AJ124" s="199">
        <v>2</v>
      </c>
      <c r="AK124" s="255">
        <f t="shared" si="61"/>
        <v>182.96979403159804</v>
      </c>
      <c r="AL124" s="256">
        <f t="shared" si="37"/>
        <v>32019.713955529656</v>
      </c>
      <c r="AM124" s="144"/>
      <c r="AN124" s="144"/>
      <c r="AO124" s="144"/>
    </row>
    <row r="125" spans="1:41" ht="15.75">
      <c r="A125" s="294">
        <v>116</v>
      </c>
      <c r="B125" s="191" t="s">
        <v>297</v>
      </c>
      <c r="C125" s="231">
        <v>4</v>
      </c>
      <c r="D125" s="191" t="s">
        <v>298</v>
      </c>
      <c r="E125" s="192" t="str">
        <f>IF(ISNUMBER(C125),IF(C125&lt;=units!$L$7,units!$L$8,IF(C125&lt;=units!$N$7,units!$M$8,IF(C125&gt;units!$O$8,"OXI",units!$N$8))),"--")</f>
        <v>TAXI</v>
      </c>
      <c r="F125" s="183">
        <v>7</v>
      </c>
      <c r="G125" s="184">
        <v>0</v>
      </c>
      <c r="H125" s="185">
        <v>0</v>
      </c>
      <c r="I125" s="186">
        <f t="shared" si="50"/>
        <v>7</v>
      </c>
      <c r="J125" s="282"/>
      <c r="K125" s="277">
        <f>(units!$B$4*(F125*1.2*units!$B$23+G125*1.2*units!$D$23+H125*1.2*units!$E$23))+(F125*1.2*units!$B$31+G125*1.2*units!$D$31+H125*1.2*units!$E$31)+(F125*1.2*units!$B$35+G125*1.2*units!$D$35+H125*1.2*units!$E$35)</f>
        <v>10.87922833846154</v>
      </c>
      <c r="L125" s="187">
        <f>units!$F$8*((F125*1.2/units!$B$19)*60+((G125*1.2/units!$D$19)*60)+((H125*1.2/units!$E$19)*60))/60</f>
        <v>4.533547008547009</v>
      </c>
      <c r="M125" s="187">
        <f>units!$H$8*((F125*1.2/units!$B$19)*60+((G125*1.2/units!$D$19)*60)+((H125*1.2/units!$E$19)*60))/60</f>
        <v>8.484848484848486</v>
      </c>
      <c r="N125" s="187">
        <f t="shared" si="51"/>
        <v>5.974405957964258</v>
      </c>
      <c r="O125" s="187">
        <f t="shared" si="52"/>
        <v>4.480804468473194</v>
      </c>
      <c r="P125" s="188">
        <f t="shared" si="53"/>
        <v>34.352834258294486</v>
      </c>
      <c r="Q125" s="189"/>
      <c r="R125" s="187">
        <f>(F125*1.2*units!$B$36+G125*1.2*units!$D$36+H125*1.2*units!$E$36)+(F125*1.2*units!$B$32+G125*1.2*units!$D$32+H125*1.2*units!$E$32)+(units!$B$4*(F125*1.2*units!$B$24+G125*1.2*units!$D$24+H125*1.2*units!$E$24))</f>
        <v>5.287305369230769</v>
      </c>
      <c r="S125" s="187">
        <f>units!$F$9*(((F125*1.2/units!$B$20)*60)+((G125*1.2/units!$D$20)*60)+((H125*1.2/units!$E$20)*60))/60</f>
        <v>2.503472222222222</v>
      </c>
      <c r="T125" s="187">
        <f>units!$H$9*(((F125*1.2/units!$B$20)*60)+((G125*1.2/units!$D$20)*60)+((H125*1.2/units!$E$20)*60))/60</f>
        <v>7.070707070707071</v>
      </c>
      <c r="U125" s="187">
        <f t="shared" si="54"/>
        <v>3.7153711655400157</v>
      </c>
      <c r="V125" s="187">
        <f t="shared" si="55"/>
        <v>2.786528374155012</v>
      </c>
      <c r="W125" s="188">
        <f t="shared" si="56"/>
        <v>21.36338420185509</v>
      </c>
      <c r="X125" s="189"/>
      <c r="Y125" s="187">
        <f>(units!$B$4*(units!$B$25*F125*1.2+units!$D$25*G125*1.2+units!$E$25*H125*1.2)+(F125*1.2*units!$B$33+G125*1.2*units!$D$33+H125*1.2*units!$E$33)+(F125*1.2*units!$B$37+G125*1.2*units!$D$37+H125*1.2*units!$E$37))</f>
        <v>1.8176147769230768</v>
      </c>
      <c r="Z125" s="187">
        <f>units!$F$10*(((F125*1.2/units!$B$21)*60)+((G125*1.2/units!$D$21)*60)+((H125*1.2/units!$E$21)*60))/60</f>
        <v>0.35074786324786333</v>
      </c>
      <c r="AA125" s="187">
        <f>units!$H$10*(((F125*1.2/units!$B$21)*60)+((G125*1.2/units!$D$21)*60)+((H125*1.2/units!$E$21)*60))/60</f>
        <v>3.5353535353535355</v>
      </c>
      <c r="AB125" s="187">
        <f t="shared" si="57"/>
        <v>1.425929043881119</v>
      </c>
      <c r="AC125" s="187">
        <f t="shared" si="58"/>
        <v>1.0694467829108392</v>
      </c>
      <c r="AD125" s="188">
        <f t="shared" si="59"/>
        <v>8.199092002316434</v>
      </c>
      <c r="AE125" s="190"/>
      <c r="AF125" s="188">
        <f>IF(E125=units!$N$8,P125,"")</f>
      </c>
      <c r="AG125" s="188">
        <f>IF(E125=units!$M$8,W125,"")</f>
      </c>
      <c r="AH125" s="188">
        <f>IF(E125=units!$L$8,AD125,"")</f>
        <v>8.199092002316434</v>
      </c>
      <c r="AI125" s="188">
        <f t="shared" si="60"/>
        <v>8.199092002316434</v>
      </c>
      <c r="AJ125" s="199">
        <v>6</v>
      </c>
      <c r="AK125" s="255">
        <f t="shared" si="61"/>
        <v>49.1945520138986</v>
      </c>
      <c r="AL125" s="256">
        <f t="shared" si="37"/>
        <v>8609.046602432256</v>
      </c>
      <c r="AM125" s="144"/>
      <c r="AN125" s="144"/>
      <c r="AO125" s="144"/>
    </row>
    <row r="126" spans="1:41" ht="15.75">
      <c r="A126" s="294">
        <v>117</v>
      </c>
      <c r="B126" s="191" t="s">
        <v>299</v>
      </c>
      <c r="C126" s="182">
        <v>4</v>
      </c>
      <c r="D126" s="191" t="s">
        <v>233</v>
      </c>
      <c r="E126" s="192" t="str">
        <f>IF(ISNUMBER(C126),IF(C126&lt;=units!$L$7,units!$L$8,IF(C126&lt;=units!$N$7,units!$M$8,IF(C126&gt;units!$O$8,"OXI",units!$N$8))),"--")</f>
        <v>TAXI</v>
      </c>
      <c r="F126" s="183">
        <v>5</v>
      </c>
      <c r="G126" s="184">
        <v>0</v>
      </c>
      <c r="H126" s="185">
        <v>0</v>
      </c>
      <c r="I126" s="186">
        <f t="shared" si="50"/>
        <v>5</v>
      </c>
      <c r="J126" s="282"/>
      <c r="K126" s="277">
        <f>(units!$B$4*(F126*1.2*units!$B$23+G126*1.2*units!$D$23+H126*1.2*units!$E$23))+(F126*1.2*units!$B$31+G126*1.2*units!$D$31+H126*1.2*units!$E$31)+(F126*1.2*units!$B$35+G126*1.2*units!$D$35+H126*1.2*units!$E$35)</f>
        <v>7.7708773846153845</v>
      </c>
      <c r="L126" s="187">
        <f>units!$F$8*((F126*1.2/units!$B$19)*60+((G126*1.2/units!$D$19)*60)+((H126*1.2/units!$E$19)*60))/60</f>
        <v>3.2382478632478637</v>
      </c>
      <c r="M126" s="187">
        <f>units!$H$8*((F126*1.2/units!$B$19)*60+((G126*1.2/units!$D$19)*60)+((H126*1.2/units!$E$19)*60))/60</f>
        <v>6.0606060606060606</v>
      </c>
      <c r="N126" s="187">
        <f t="shared" si="51"/>
        <v>4.267432827117327</v>
      </c>
      <c r="O126" s="187">
        <f t="shared" si="52"/>
        <v>3.200574620337995</v>
      </c>
      <c r="P126" s="188">
        <f t="shared" si="53"/>
        <v>24.53773875592463</v>
      </c>
      <c r="Q126" s="189"/>
      <c r="R126" s="187">
        <f>(F126*1.2*units!$B$36+G126*1.2*units!$D$36+H126*1.2*units!$E$36)+(F126*1.2*units!$B$32+G126*1.2*units!$D$32+H126*1.2*units!$E$32)+(units!$B$4*(F126*1.2*units!$B$24+G126*1.2*units!$D$24+H126*1.2*units!$E$24))</f>
        <v>3.776646692307692</v>
      </c>
      <c r="S126" s="187">
        <f>units!$F$9*(((F126*1.2/units!$B$20)*60)+((G126*1.2/units!$D$20)*60)+((H126*1.2/units!$E$20)*60))/60</f>
        <v>1.7881944444444442</v>
      </c>
      <c r="T126" s="187">
        <f>units!$H$9*(((F126*1.2/units!$B$20)*60)+((G126*1.2/units!$D$20)*60)+((H126*1.2/units!$E$20)*60))/60</f>
        <v>5.050505050505051</v>
      </c>
      <c r="U126" s="187">
        <f t="shared" si="54"/>
        <v>2.653836546814297</v>
      </c>
      <c r="V126" s="187">
        <f t="shared" si="55"/>
        <v>1.9903774101107228</v>
      </c>
      <c r="W126" s="188">
        <f t="shared" si="56"/>
        <v>15.259560144182208</v>
      </c>
      <c r="X126" s="189"/>
      <c r="Y126" s="187">
        <f>(units!$B$4*(units!$B$25*F126*1.2+units!$D$25*G126*1.2+units!$E$25*H126*1.2)+(F126*1.2*units!$B$33+G126*1.2*units!$D$33+H126*1.2*units!$E$33)+(F126*1.2*units!$B$37+G126*1.2*units!$D$37+H126*1.2*units!$E$37))</f>
        <v>1.2982962692307691</v>
      </c>
      <c r="Z126" s="187">
        <f>units!$F$10*(((F126*1.2/units!$B$21)*60)+((G126*1.2/units!$D$21)*60)+((H126*1.2/units!$E$21)*60))/60</f>
        <v>0.2505341880341881</v>
      </c>
      <c r="AA126" s="187">
        <f>units!$H$10*(((F126*1.2/units!$B$21)*60)+((G126*1.2/units!$D$21)*60)+((H126*1.2/units!$E$21)*60))/60</f>
        <v>2.525252525252525</v>
      </c>
      <c r="AB126" s="187">
        <f t="shared" si="57"/>
        <v>1.0185207456293706</v>
      </c>
      <c r="AC126" s="187">
        <f t="shared" si="58"/>
        <v>0.7638905592220279</v>
      </c>
      <c r="AD126" s="188">
        <f t="shared" si="59"/>
        <v>5.85649428736888</v>
      </c>
      <c r="AE126" s="190"/>
      <c r="AF126" s="188">
        <f>IF(E126=units!$N$8,P126,"")</f>
      </c>
      <c r="AG126" s="188">
        <f>IF(E126=units!$M$8,W126,"")</f>
      </c>
      <c r="AH126" s="188">
        <f>IF(E126=units!$L$8,AD126,"")</f>
        <v>5.85649428736888</v>
      </c>
      <c r="AI126" s="188">
        <f t="shared" si="60"/>
        <v>5.85649428736888</v>
      </c>
      <c r="AJ126" s="199">
        <v>2</v>
      </c>
      <c r="AK126" s="255">
        <f t="shared" si="61"/>
        <v>11.71298857473776</v>
      </c>
      <c r="AL126" s="256">
        <f t="shared" si="37"/>
        <v>2049.773000579108</v>
      </c>
      <c r="AM126" s="144"/>
      <c r="AN126" s="144"/>
      <c r="AO126" s="144"/>
    </row>
    <row r="127" spans="1:41" ht="15.75">
      <c r="A127" s="294">
        <v>118</v>
      </c>
      <c r="B127" s="191" t="s">
        <v>301</v>
      </c>
      <c r="C127" s="231">
        <v>4</v>
      </c>
      <c r="D127" s="191" t="s">
        <v>300</v>
      </c>
      <c r="E127" s="192" t="str">
        <f>IF(ISNUMBER(C127),IF(C127&lt;=units!$L$7,units!$L$8,IF(C127&lt;=units!$N$7,units!$M$8,IF(C127&gt;units!$O$8,"OXI",units!$N$8))),"--")</f>
        <v>TAXI</v>
      </c>
      <c r="F127" s="183">
        <v>8</v>
      </c>
      <c r="G127" s="184">
        <v>0</v>
      </c>
      <c r="H127" s="185">
        <v>0</v>
      </c>
      <c r="I127" s="186">
        <f t="shared" si="50"/>
        <v>8</v>
      </c>
      <c r="J127" s="282"/>
      <c r="K127" s="277">
        <f>(units!$B$4*(F127*1.2*units!$B$23+G127*1.2*units!$D$23+H127*1.2*units!$E$23))+(F127*1.2*units!$B$31+G127*1.2*units!$D$31+H127*1.2*units!$E$31)+(F127*1.2*units!$B$35+G127*1.2*units!$D$35+H127*1.2*units!$E$35)</f>
        <v>12.433403815384615</v>
      </c>
      <c r="L127" s="187">
        <f>units!$F$8*((F127*1.2/units!$B$19)*60+((G127*1.2/units!$D$19)*60)+((H127*1.2/units!$E$19)*60))/60</f>
        <v>5.181196581196582</v>
      </c>
      <c r="M127" s="187">
        <f>units!$H$8*((F127*1.2/units!$B$19)*60+((G127*1.2/units!$D$19)*60)+((H127*1.2/units!$E$19)*60))/60</f>
        <v>9.696969696969697</v>
      </c>
      <c r="N127" s="187">
        <f t="shared" si="51"/>
        <v>6.827892523387723</v>
      </c>
      <c r="O127" s="187">
        <f t="shared" si="52"/>
        <v>5.1209193925407925</v>
      </c>
      <c r="P127" s="188">
        <f t="shared" si="53"/>
        <v>39.26038200947941</v>
      </c>
      <c r="Q127" s="189"/>
      <c r="R127" s="187">
        <f>(F127*1.2*units!$B$36+G127*1.2*units!$D$36+H127*1.2*units!$E$36)+(F127*1.2*units!$B$32+G127*1.2*units!$D$32+H127*1.2*units!$E$32)+(units!$B$4*(F127*1.2*units!$B$24+G127*1.2*units!$D$24+H127*1.2*units!$E$24))</f>
        <v>6.042634707692307</v>
      </c>
      <c r="S127" s="187">
        <f>units!$F$9*(((F127*1.2/units!$B$20)*60)+((G127*1.2/units!$D$20)*60)+((H127*1.2/units!$E$20)*60))/60</f>
        <v>2.861111111111111</v>
      </c>
      <c r="T127" s="187">
        <f>units!$H$9*(((F127*1.2/units!$B$20)*60)+((G127*1.2/units!$D$20)*60)+((H127*1.2/units!$E$20)*60))/60</f>
        <v>8.080808080808081</v>
      </c>
      <c r="U127" s="187">
        <f t="shared" si="54"/>
        <v>4.2461384749028745</v>
      </c>
      <c r="V127" s="187">
        <f t="shared" si="55"/>
        <v>3.184603856177156</v>
      </c>
      <c r="W127" s="188">
        <f t="shared" si="56"/>
        <v>24.415296230691528</v>
      </c>
      <c r="X127" s="189"/>
      <c r="Y127" s="187">
        <f>(units!$B$4*(units!$B$25*F127*1.2+units!$D$25*G127*1.2+units!$E$25*H127*1.2)+(F127*1.2*units!$B$33+G127*1.2*units!$D$33+H127*1.2*units!$E$33)+(F127*1.2*units!$B$37+G127*1.2*units!$D$37+H127*1.2*units!$E$37))</f>
        <v>2.077274030769231</v>
      </c>
      <c r="Z127" s="187">
        <f>units!$F$10*(((F127*1.2/units!$B$21)*60)+((G127*1.2/units!$D$21)*60)+((H127*1.2/units!$E$21)*60))/60</f>
        <v>0.40085470085470093</v>
      </c>
      <c r="AA127" s="187">
        <f>units!$H$10*(((F127*1.2/units!$B$21)*60)+((G127*1.2/units!$D$21)*60)+((H127*1.2/units!$E$21)*60))/60</f>
        <v>4.04040404040404</v>
      </c>
      <c r="AB127" s="187">
        <f t="shared" si="57"/>
        <v>1.6296331930069927</v>
      </c>
      <c r="AC127" s="187">
        <f t="shared" si="58"/>
        <v>1.2222248947552443</v>
      </c>
      <c r="AD127" s="188">
        <f t="shared" si="59"/>
        <v>9.370390859790207</v>
      </c>
      <c r="AE127" s="190"/>
      <c r="AF127" s="188">
        <f>IF(E127=units!$N$8,P127,"")</f>
      </c>
      <c r="AG127" s="188">
        <f>IF(E127=units!$M$8,W127,"")</f>
      </c>
      <c r="AH127" s="188">
        <f>IF(E127=units!$L$8,AD127,"")</f>
        <v>9.370390859790207</v>
      </c>
      <c r="AI127" s="188">
        <f t="shared" si="60"/>
        <v>9.370390859790207</v>
      </c>
      <c r="AJ127" s="199">
        <v>6</v>
      </c>
      <c r="AK127" s="255">
        <f t="shared" si="61"/>
        <v>56.22234515874125</v>
      </c>
      <c r="AL127" s="256">
        <f t="shared" si="37"/>
        <v>9838.910402779718</v>
      </c>
      <c r="AM127" s="144"/>
      <c r="AN127" s="144"/>
      <c r="AO127" s="144"/>
    </row>
    <row r="128" spans="1:41" ht="15.75">
      <c r="A128" s="294">
        <v>119</v>
      </c>
      <c r="B128" s="191" t="s">
        <v>189</v>
      </c>
      <c r="C128" s="182">
        <v>2</v>
      </c>
      <c r="D128" s="191" t="s">
        <v>302</v>
      </c>
      <c r="E128" s="192" t="str">
        <f>IF(ISNUMBER(C128),IF(C128&lt;=units!$L$7,units!$L$8,IF(C128&lt;=units!$N$7,units!$M$8,IF(C128&gt;units!$O$8,"OXI",units!$N$8))),"--")</f>
        <v>TAXI</v>
      </c>
      <c r="F128" s="183">
        <v>0</v>
      </c>
      <c r="G128" s="184">
        <v>0</v>
      </c>
      <c r="H128" s="185">
        <v>45</v>
      </c>
      <c r="I128" s="186">
        <f t="shared" si="50"/>
        <v>45</v>
      </c>
      <c r="J128" s="282"/>
      <c r="K128" s="277">
        <f>(units!$B$4*(F128*1.2*units!$B$23+G128*1.2*units!$D$23+H128*1.2*units!$E$23))+(F128*1.2*units!$B$31+G128*1.2*units!$D$31+H128*1.2*units!$E$31)+(F128*1.2*units!$B$35+G128*1.2*units!$D$35+H128*1.2*units!$E$35)</f>
        <v>68.92814334065933</v>
      </c>
      <c r="L128" s="187">
        <f>units!$F$8*((F128*1.2/units!$B$19)*60+((G128*1.2/units!$D$19)*60)+((H128*1.2/units!$E$19)*60))/60</f>
        <v>12.490384615384617</v>
      </c>
      <c r="M128" s="187">
        <f>units!$H$8*((F128*1.2/units!$B$19)*60+((G128*1.2/units!$D$19)*60)+((H128*1.2/units!$E$19)*60))/60</f>
        <v>23.376623376623378</v>
      </c>
      <c r="N128" s="187">
        <f t="shared" si="51"/>
        <v>26.198787833166833</v>
      </c>
      <c r="O128" s="187">
        <f t="shared" si="52"/>
        <v>19.64909087487512</v>
      </c>
      <c r="P128" s="188">
        <f t="shared" si="53"/>
        <v>150.64303004070928</v>
      </c>
      <c r="Q128" s="189"/>
      <c r="R128" s="187">
        <f>(F128*1.2*units!$B$36+G128*1.2*units!$D$36+H128*1.2*units!$E$36)+(F128*1.2*units!$B$32+G128*1.2*units!$D$32+H128*1.2*units!$E$32)+(units!$B$4*(F128*1.2*units!$B$24+G128*1.2*units!$D$24+H128*1.2*units!$E$24))</f>
        <v>30.420827604395605</v>
      </c>
      <c r="S128" s="187">
        <f>units!$F$9*(((F128*1.2/units!$B$20)*60)+((G128*1.2/units!$D$20)*60)+((H128*1.2/units!$E$20)*60))/60</f>
        <v>8.276785714285714</v>
      </c>
      <c r="T128" s="187">
        <f>units!$H$9*(((F128*1.2/units!$B$20)*60)+((G128*1.2/units!$D$20)*60)+((H128*1.2/units!$E$20)*60))/60</f>
        <v>23.376623376623378</v>
      </c>
      <c r="U128" s="187">
        <f t="shared" si="54"/>
        <v>15.518559173826175</v>
      </c>
      <c r="V128" s="187">
        <f t="shared" si="55"/>
        <v>11.63891938036963</v>
      </c>
      <c r="W128" s="188">
        <f t="shared" si="56"/>
        <v>89.2317152495005</v>
      </c>
      <c r="X128" s="189"/>
      <c r="Y128" s="187">
        <f>(units!$B$4*(units!$B$25*F128*1.2+units!$D$25*G128*1.2+units!$E$25*H128*1.2)+(F128*1.2*units!$B$33+G128*1.2*units!$D$33+H128*1.2*units!$E$33)+(F128*1.2*units!$B$37+G128*1.2*units!$D$37+H128*1.2*units!$E$37))</f>
        <v>11.994307615384614</v>
      </c>
      <c r="Z128" s="187">
        <f>units!$F$10*(((F128*1.2/units!$B$21)*60)+((G128*1.2/units!$D$21)*60)+((H128*1.2/units!$E$21)*60))/60</f>
        <v>1.5032051282051284</v>
      </c>
      <c r="AA128" s="187">
        <f>units!$H$10*(((F128*1.2/units!$B$21)*60)+((G128*1.2/units!$D$21)*60)+((H128*1.2/units!$E$21)*60))/60</f>
        <v>15.151515151515152</v>
      </c>
      <c r="AB128" s="187">
        <f t="shared" si="57"/>
        <v>7.162256973776223</v>
      </c>
      <c r="AC128" s="187">
        <f t="shared" si="58"/>
        <v>5.3716927303321675</v>
      </c>
      <c r="AD128" s="188">
        <f t="shared" si="59"/>
        <v>41.18297759921329</v>
      </c>
      <c r="AE128" s="190"/>
      <c r="AF128" s="188">
        <f>IF(E128=units!$N$8,P128,"")</f>
      </c>
      <c r="AG128" s="188">
        <f>IF(E128=units!$M$8,W128,"")</f>
      </c>
      <c r="AH128" s="188">
        <f>IF(E128=units!$L$8,AD128,"")</f>
        <v>41.18297759921329</v>
      </c>
      <c r="AI128" s="188">
        <f t="shared" si="60"/>
        <v>41.18297759921329</v>
      </c>
      <c r="AJ128" s="199">
        <v>2</v>
      </c>
      <c r="AK128" s="255">
        <f t="shared" si="61"/>
        <v>82.36595519842658</v>
      </c>
      <c r="AL128" s="256">
        <f t="shared" si="37"/>
        <v>14414.042159724651</v>
      </c>
      <c r="AM128" s="144"/>
      <c r="AN128" s="144"/>
      <c r="AO128" s="144"/>
    </row>
    <row r="129" spans="1:41" ht="45">
      <c r="A129" s="294">
        <v>120</v>
      </c>
      <c r="B129" s="191" t="s">
        <v>304</v>
      </c>
      <c r="C129" s="231">
        <v>21</v>
      </c>
      <c r="D129" s="191" t="s">
        <v>303</v>
      </c>
      <c r="E129" s="192" t="str">
        <f>IF(ISNUMBER(C129),IF(C129&lt;=units!$L$7,units!$L$8,IF(C129&lt;=units!$N$7,units!$M$8,IF(C129&gt;units!$O$8,"OXI",units!$N$8))),"--")</f>
        <v>BUS</v>
      </c>
      <c r="F129" s="183">
        <v>0</v>
      </c>
      <c r="G129" s="184">
        <v>0</v>
      </c>
      <c r="H129" s="185">
        <v>40</v>
      </c>
      <c r="I129" s="186">
        <f t="shared" si="50"/>
        <v>40</v>
      </c>
      <c r="J129" s="282"/>
      <c r="K129" s="277">
        <f>(units!$B$4*(F129*1.2*units!$B$23+G129*1.2*units!$D$23+H129*1.2*units!$E$23))+(F129*1.2*units!$B$31+G129*1.2*units!$D$31+H129*1.2*units!$E$31)+(F129*1.2*units!$B$35+G129*1.2*units!$D$35+H129*1.2*units!$E$35)</f>
        <v>61.26946074725275</v>
      </c>
      <c r="L129" s="187">
        <f>units!$F$8*((F129*1.2/units!$B$19)*60+((G129*1.2/units!$D$19)*60)+((H129*1.2/units!$E$19)*60))/60</f>
        <v>11.102564102564106</v>
      </c>
      <c r="M129" s="187">
        <f>units!$H$8*((F129*1.2/units!$B$19)*60+((G129*1.2/units!$D$19)*60)+((H129*1.2/units!$E$19)*60))/60</f>
        <v>20.779220779220783</v>
      </c>
      <c r="N129" s="187">
        <f t="shared" si="51"/>
        <v>23.287811407259408</v>
      </c>
      <c r="O129" s="187">
        <f t="shared" si="52"/>
        <v>17.465858555444555</v>
      </c>
      <c r="P129" s="188">
        <f t="shared" si="53"/>
        <v>133.9049155917416</v>
      </c>
      <c r="Q129" s="189"/>
      <c r="R129" s="187">
        <f>(F129*1.2*units!$B$36+G129*1.2*units!$D$36+H129*1.2*units!$E$36)+(F129*1.2*units!$B$32+G129*1.2*units!$D$32+H129*1.2*units!$E$32)+(units!$B$4*(F129*1.2*units!$B$24+G129*1.2*units!$D$24+H129*1.2*units!$E$24))</f>
        <v>27.04073564835165</v>
      </c>
      <c r="S129" s="187">
        <f>units!$F$9*(((F129*1.2/units!$B$20)*60)+((G129*1.2/units!$D$20)*60)+((H129*1.2/units!$E$20)*60))/60</f>
        <v>7.357142857142858</v>
      </c>
      <c r="T129" s="187">
        <f>units!$H$9*(((F129*1.2/units!$B$20)*60)+((G129*1.2/units!$D$20)*60)+((H129*1.2/units!$E$20)*60))/60</f>
        <v>20.779220779220783</v>
      </c>
      <c r="U129" s="187">
        <f t="shared" si="54"/>
        <v>13.79427482117882</v>
      </c>
      <c r="V129" s="187">
        <f t="shared" si="55"/>
        <v>10.345706115884115</v>
      </c>
      <c r="W129" s="188">
        <f t="shared" si="56"/>
        <v>79.31708022177821</v>
      </c>
      <c r="X129" s="189"/>
      <c r="Y129" s="187">
        <f>(units!$B$4*(units!$B$25*F129*1.2+units!$D$25*G129*1.2+units!$E$25*H129*1.2)+(F129*1.2*units!$B$33+G129*1.2*units!$D$33+H129*1.2*units!$E$33)+(F129*1.2*units!$B$37+G129*1.2*units!$D$37+H129*1.2*units!$E$37))</f>
        <v>10.661606769230769</v>
      </c>
      <c r="Z129" s="187">
        <f>units!$F$10*(((F129*1.2/units!$B$21)*60)+((G129*1.2/units!$D$21)*60)+((H129*1.2/units!$E$21)*60))/60</f>
        <v>1.3361823361823364</v>
      </c>
      <c r="AA129" s="187">
        <f>units!$H$10*(((F129*1.2/units!$B$21)*60)+((G129*1.2/units!$D$21)*60)+((H129*1.2/units!$E$21)*60))/60</f>
        <v>13.468013468013469</v>
      </c>
      <c r="AB129" s="187">
        <f t="shared" si="57"/>
        <v>6.366450643356643</v>
      </c>
      <c r="AC129" s="187">
        <f t="shared" si="58"/>
        <v>4.774837982517482</v>
      </c>
      <c r="AD129" s="188">
        <f t="shared" si="59"/>
        <v>36.6070911993007</v>
      </c>
      <c r="AE129" s="190"/>
      <c r="AF129" s="188">
        <f>IF(E129=units!$N$8,P129,"")</f>
        <v>133.9049155917416</v>
      </c>
      <c r="AG129" s="188">
        <f>IF(E129=units!$M$8,W129,"")</f>
      </c>
      <c r="AH129" s="188">
        <f>IF(E129=units!$L$8,AD129,"")</f>
      </c>
      <c r="AI129" s="188">
        <f t="shared" si="60"/>
        <v>133.9049155917416</v>
      </c>
      <c r="AJ129" s="199">
        <v>2</v>
      </c>
      <c r="AK129" s="255">
        <f t="shared" si="61"/>
        <v>267.8098311834832</v>
      </c>
      <c r="AL129" s="256">
        <f t="shared" si="37"/>
        <v>46866.72045710956</v>
      </c>
      <c r="AM129" s="144"/>
      <c r="AN129" s="144"/>
      <c r="AO129" s="144"/>
    </row>
    <row r="130" spans="1:41" ht="15.75">
      <c r="A130" s="294">
        <v>121</v>
      </c>
      <c r="B130" s="191" t="s">
        <v>305</v>
      </c>
      <c r="C130" s="182">
        <v>3</v>
      </c>
      <c r="D130" s="191" t="s">
        <v>149</v>
      </c>
      <c r="E130" s="192" t="str">
        <f>IF(ISNUMBER(C130),IF(C130&lt;=units!$L$7,units!$L$8,IF(C130&lt;=units!$N$7,units!$M$8,IF(C130&gt;units!$O$8,"OXI",units!$N$8))),"--")</f>
        <v>TAXI</v>
      </c>
      <c r="F130" s="183">
        <v>5</v>
      </c>
      <c r="G130" s="184">
        <v>0</v>
      </c>
      <c r="H130" s="185">
        <v>0</v>
      </c>
      <c r="I130" s="186">
        <f t="shared" si="50"/>
        <v>5</v>
      </c>
      <c r="J130" s="282"/>
      <c r="K130" s="277">
        <f>(units!$B$4*(F130*1.2*units!$B$23+G130*1.2*units!$D$23+H130*1.2*units!$E$23))+(F130*1.2*units!$B$31+G130*1.2*units!$D$31+H130*1.2*units!$E$31)+(F130*1.2*units!$B$35+G130*1.2*units!$D$35+H130*1.2*units!$E$35)</f>
        <v>7.7708773846153845</v>
      </c>
      <c r="L130" s="187">
        <f>units!$F$8*((F130*1.2/units!$B$19)*60+((G130*1.2/units!$D$19)*60)+((H130*1.2/units!$E$19)*60))/60</f>
        <v>3.2382478632478637</v>
      </c>
      <c r="M130" s="187">
        <f>units!$H$8*((F130*1.2/units!$B$19)*60+((G130*1.2/units!$D$19)*60)+((H130*1.2/units!$E$19)*60))/60</f>
        <v>6.0606060606060606</v>
      </c>
      <c r="N130" s="187">
        <f t="shared" si="51"/>
        <v>4.267432827117327</v>
      </c>
      <c r="O130" s="187">
        <f t="shared" si="52"/>
        <v>3.200574620337995</v>
      </c>
      <c r="P130" s="188">
        <f t="shared" si="53"/>
        <v>24.53773875592463</v>
      </c>
      <c r="Q130" s="189"/>
      <c r="R130" s="187">
        <f>(F130*1.2*units!$B$36+G130*1.2*units!$D$36+H130*1.2*units!$E$36)+(F130*1.2*units!$B$32+G130*1.2*units!$D$32+H130*1.2*units!$E$32)+(units!$B$4*(F130*1.2*units!$B$24+G130*1.2*units!$D$24+H130*1.2*units!$E$24))</f>
        <v>3.776646692307692</v>
      </c>
      <c r="S130" s="187">
        <f>units!$F$9*(((F130*1.2/units!$B$20)*60)+((G130*1.2/units!$D$20)*60)+((H130*1.2/units!$E$20)*60))/60</f>
        <v>1.7881944444444442</v>
      </c>
      <c r="T130" s="187">
        <f>units!$H$9*(((F130*1.2/units!$B$20)*60)+((G130*1.2/units!$D$20)*60)+((H130*1.2/units!$E$20)*60))/60</f>
        <v>5.050505050505051</v>
      </c>
      <c r="U130" s="187">
        <f t="shared" si="54"/>
        <v>2.653836546814297</v>
      </c>
      <c r="V130" s="187">
        <f t="shared" si="55"/>
        <v>1.9903774101107228</v>
      </c>
      <c r="W130" s="188">
        <f t="shared" si="56"/>
        <v>15.259560144182208</v>
      </c>
      <c r="X130" s="189"/>
      <c r="Y130" s="187">
        <f>(units!$B$4*(units!$B$25*F130*1.2+units!$D$25*G130*1.2+units!$E$25*H130*1.2)+(F130*1.2*units!$B$33+G130*1.2*units!$D$33+H130*1.2*units!$E$33)+(F130*1.2*units!$B$37+G130*1.2*units!$D$37+H130*1.2*units!$E$37))</f>
        <v>1.2982962692307691</v>
      </c>
      <c r="Z130" s="187">
        <f>units!$F$10*(((F130*1.2/units!$B$21)*60)+((G130*1.2/units!$D$21)*60)+((H130*1.2/units!$E$21)*60))/60</f>
        <v>0.2505341880341881</v>
      </c>
      <c r="AA130" s="187">
        <f>units!$H$10*(((F130*1.2/units!$B$21)*60)+((G130*1.2/units!$D$21)*60)+((H130*1.2/units!$E$21)*60))/60</f>
        <v>2.525252525252525</v>
      </c>
      <c r="AB130" s="187">
        <f t="shared" si="57"/>
        <v>1.0185207456293706</v>
      </c>
      <c r="AC130" s="187">
        <f t="shared" si="58"/>
        <v>0.7638905592220279</v>
      </c>
      <c r="AD130" s="188">
        <f t="shared" si="59"/>
        <v>5.85649428736888</v>
      </c>
      <c r="AE130" s="190"/>
      <c r="AF130" s="188">
        <f>IF(E130=units!$N$8,P130,"")</f>
      </c>
      <c r="AG130" s="188">
        <f>IF(E130=units!$M$8,W130,"")</f>
      </c>
      <c r="AH130" s="188">
        <f>IF(E130=units!$L$8,AD130,"")</f>
        <v>5.85649428736888</v>
      </c>
      <c r="AI130" s="188">
        <f t="shared" si="60"/>
        <v>5.85649428736888</v>
      </c>
      <c r="AJ130" s="199">
        <v>8</v>
      </c>
      <c r="AK130" s="255">
        <f t="shared" si="61"/>
        <v>46.85195429895104</v>
      </c>
      <c r="AL130" s="256">
        <f t="shared" si="37"/>
        <v>8199.092002316433</v>
      </c>
      <c r="AM130" s="144"/>
      <c r="AN130" s="144"/>
      <c r="AO130" s="144"/>
    </row>
    <row r="131" spans="1:41" ht="15.75">
      <c r="A131" s="294">
        <v>122</v>
      </c>
      <c r="B131" s="191" t="s">
        <v>306</v>
      </c>
      <c r="C131" s="182">
        <v>3</v>
      </c>
      <c r="D131" s="191" t="s">
        <v>307</v>
      </c>
      <c r="E131" s="192" t="str">
        <f>IF(ISNUMBER(C131),IF(C131&lt;=units!$L$7,units!$L$8,IF(C131&lt;=units!$N$7,units!$M$8,IF(C131&gt;units!$O$8,"OXI",units!$N$8))),"--")</f>
        <v>TAXI</v>
      </c>
      <c r="F131" s="183">
        <v>0</v>
      </c>
      <c r="G131" s="184">
        <v>22</v>
      </c>
      <c r="H131" s="185"/>
      <c r="I131" s="186">
        <f t="shared" si="50"/>
        <v>22</v>
      </c>
      <c r="J131" s="282"/>
      <c r="K131" s="277">
        <f>(units!$B$4*(F131*1.2*units!$B$23+G131*1.2*units!$D$23+H131*1.2*units!$E$23))+(F131*1.2*units!$B$31+G131*1.2*units!$D$31+H131*1.2*units!$E$31)+(F131*1.2*units!$B$35+G131*1.2*units!$D$35+H131*1.2*units!$E$35)</f>
        <v>21.36459803076923</v>
      </c>
      <c r="L131" s="187">
        <f>units!$F$8*((F131*1.2/units!$B$19)*60+((G131*1.2/units!$D$19)*60)+((H131*1.2/units!$E$19)*60))/60</f>
        <v>4.7494301994302</v>
      </c>
      <c r="M131" s="187">
        <f>units!$H$8*((F131*1.2/units!$B$19)*60+((G131*1.2/units!$D$19)*60)+((H131*1.2/units!$E$19)*60))/60</f>
        <v>8.88888888888889</v>
      </c>
      <c r="N131" s="187">
        <f t="shared" si="51"/>
        <v>8.75072927977208</v>
      </c>
      <c r="O131" s="187">
        <f t="shared" si="52"/>
        <v>6.563046959829061</v>
      </c>
      <c r="P131" s="188">
        <f t="shared" si="53"/>
        <v>50.31669335868946</v>
      </c>
      <c r="Q131" s="189"/>
      <c r="R131" s="187">
        <f>(F131*1.2*units!$B$36+G131*1.2*units!$D$36+H131*1.2*units!$E$36)+(F131*1.2*units!$B$32+G131*1.2*units!$D$32+H131*1.2*units!$E$32)+(units!$B$4*(F131*1.2*units!$B$24+G131*1.2*units!$D$24+H131*1.2*units!$E$24))</f>
        <v>11.623810338461539</v>
      </c>
      <c r="S131" s="187">
        <f>units!$F$9*(((F131*1.2/units!$B$20)*60)+((G131*1.2/units!$D$20)*60)+((H131*1.2/units!$E$20)*60))/60</f>
        <v>3.1472222222222226</v>
      </c>
      <c r="T131" s="187">
        <f>units!$H$9*(((F131*1.2/units!$B$20)*60)+((G131*1.2/units!$D$20)*60)+((H131*1.2/units!$E$20)*60))/60</f>
        <v>8.88888888888889</v>
      </c>
      <c r="U131" s="187">
        <f t="shared" si="54"/>
        <v>5.9149803623931625</v>
      </c>
      <c r="V131" s="187">
        <f t="shared" si="55"/>
        <v>4.436235271794872</v>
      </c>
      <c r="W131" s="188">
        <f t="shared" si="56"/>
        <v>34.01113708376069</v>
      </c>
      <c r="X131" s="189"/>
      <c r="Y131" s="187">
        <f>(units!$B$4*(units!$B$25*F131*1.2+units!$D$25*G131*1.2+units!$E$25*H131*1.2)+(F131*1.2*units!$B$33+G131*1.2*units!$D$33+H131*1.2*units!$E$33)+(F131*1.2*units!$B$37+G131*1.2*units!$D$37+H131*1.2*units!$E$37))</f>
        <v>5.014774246153847</v>
      </c>
      <c r="Z131" s="187">
        <f>units!$F$10*(((F131*1.2/units!$B$21)*60)+((G131*1.2/units!$D$21)*60)+((H131*1.2/units!$E$21)*60))/60</f>
        <v>0.6012820512820514</v>
      </c>
      <c r="AA131" s="187">
        <f>units!$H$10*(((F131*1.2/units!$B$21)*60)+((G131*1.2/units!$D$21)*60)+((H131*1.2/units!$E$21)*60))/60</f>
        <v>6.0606060606060606</v>
      </c>
      <c r="AB131" s="187">
        <f t="shared" si="57"/>
        <v>2.9191655895104898</v>
      </c>
      <c r="AC131" s="187">
        <f t="shared" si="58"/>
        <v>2.1893741921328673</v>
      </c>
      <c r="AD131" s="188">
        <f t="shared" si="59"/>
        <v>16.785202139685317</v>
      </c>
      <c r="AE131" s="190"/>
      <c r="AF131" s="188">
        <f>IF(E131=units!$N$8,P131,"")</f>
      </c>
      <c r="AG131" s="188">
        <f>IF(E131=units!$M$8,W131,"")</f>
      </c>
      <c r="AH131" s="188">
        <f>IF(E131=units!$L$8,AD131,"")</f>
        <v>16.785202139685317</v>
      </c>
      <c r="AI131" s="188">
        <f t="shared" si="60"/>
        <v>16.785202139685317</v>
      </c>
      <c r="AJ131" s="199">
        <v>2</v>
      </c>
      <c r="AK131" s="255">
        <f t="shared" si="61"/>
        <v>33.570404279370635</v>
      </c>
      <c r="AL131" s="256">
        <f t="shared" si="37"/>
        <v>5874.8207488898615</v>
      </c>
      <c r="AM131" s="144"/>
      <c r="AN131" s="144"/>
      <c r="AO131" s="144"/>
    </row>
    <row r="132" spans="1:41" ht="15.75">
      <c r="A132" s="294">
        <v>123</v>
      </c>
      <c r="B132" s="191" t="s">
        <v>308</v>
      </c>
      <c r="C132" s="182">
        <v>4</v>
      </c>
      <c r="D132" s="191" t="s">
        <v>309</v>
      </c>
      <c r="E132" s="192" t="str">
        <f>IF(ISNUMBER(C132),IF(C132&lt;=units!$L$7,units!$L$8,IF(C132&lt;=units!$N$7,units!$M$8,IF(C132&gt;units!$O$8,"OXI",units!$N$8))),"--")</f>
        <v>TAXI</v>
      </c>
      <c r="F132" s="183"/>
      <c r="G132" s="184">
        <v>140</v>
      </c>
      <c r="H132" s="185">
        <v>0</v>
      </c>
      <c r="I132" s="186">
        <f t="shared" si="50"/>
        <v>140</v>
      </c>
      <c r="J132" s="282"/>
      <c r="K132" s="277">
        <f>(units!$B$4*(F132*1.2*units!$B$23+G132*1.2*units!$D$23+H132*1.2*units!$E$23))+(F132*1.2*units!$B$31+G132*1.2*units!$D$31+H132*1.2*units!$E$31)+(F132*1.2*units!$B$35+G132*1.2*units!$D$35+H132*1.2*units!$E$35)</f>
        <v>135.95653292307694</v>
      </c>
      <c r="L132" s="187">
        <f>units!$F$8*((F132*1.2/units!$B$19)*60+((G132*1.2/units!$D$19)*60)+((H132*1.2/units!$E$19)*60))/60</f>
        <v>30.223646723646727</v>
      </c>
      <c r="M132" s="187">
        <f>units!$H$8*((F132*1.2/units!$B$19)*60+((G132*1.2/units!$D$19)*60)+((H132*1.2/units!$E$19)*60))/60</f>
        <v>56.56565656565657</v>
      </c>
      <c r="N132" s="187">
        <f t="shared" si="51"/>
        <v>55.686459053095064</v>
      </c>
      <c r="O132" s="187">
        <f t="shared" si="52"/>
        <v>41.7648442898213</v>
      </c>
      <c r="P132" s="188">
        <f t="shared" si="53"/>
        <v>320.19713955529664</v>
      </c>
      <c r="Q132" s="189"/>
      <c r="R132" s="187">
        <f>(F132*1.2*units!$B$36+G132*1.2*units!$D$36+H132*1.2*units!$E$36)+(F132*1.2*units!$B$32+G132*1.2*units!$D$32+H132*1.2*units!$E$32)+(units!$B$4*(F132*1.2*units!$B$24+G132*1.2*units!$D$24+H132*1.2*units!$E$24))</f>
        <v>73.96970215384616</v>
      </c>
      <c r="S132" s="187">
        <f>units!$F$9*(((F132*1.2/units!$B$20)*60)+((G132*1.2/units!$D$20)*60)+((H132*1.2/units!$E$20)*60))/60</f>
        <v>20.027777777777775</v>
      </c>
      <c r="T132" s="187">
        <f>units!$H$9*(((F132*1.2/units!$B$20)*60)+((G132*1.2/units!$D$20)*60)+((H132*1.2/units!$E$20)*60))/60</f>
        <v>56.56565656565657</v>
      </c>
      <c r="U132" s="187">
        <f t="shared" si="54"/>
        <v>37.64078412432012</v>
      </c>
      <c r="V132" s="187">
        <f t="shared" si="55"/>
        <v>28.23058809324009</v>
      </c>
      <c r="W132" s="188">
        <f t="shared" si="56"/>
        <v>216.43450871484072</v>
      </c>
      <c r="X132" s="189"/>
      <c r="Y132" s="187">
        <f>(units!$B$4*(units!$B$25*F132*1.2+units!$D$25*G132*1.2+units!$E$25*H132*1.2)+(F132*1.2*units!$B$33+G132*1.2*units!$D$33+H132*1.2*units!$E$33)+(F132*1.2*units!$B$37+G132*1.2*units!$D$37+H132*1.2*units!$E$37))</f>
        <v>31.912199748251744</v>
      </c>
      <c r="Z132" s="187">
        <f>units!$F$10*(((F132*1.2/units!$B$21)*60)+((G132*1.2/units!$D$21)*60)+((H132*1.2/units!$E$21)*60))/60</f>
        <v>3.8263403263403273</v>
      </c>
      <c r="AA132" s="187">
        <f>units!$H$10*(((F132*1.2/units!$B$21)*60)+((G132*1.2/units!$D$21)*60)+((H132*1.2/units!$E$21)*60))/60</f>
        <v>38.56749311294766</v>
      </c>
      <c r="AB132" s="187">
        <f t="shared" si="57"/>
        <v>18.57650829688493</v>
      </c>
      <c r="AC132" s="187">
        <f t="shared" si="58"/>
        <v>13.932381222663697</v>
      </c>
      <c r="AD132" s="188">
        <f t="shared" si="59"/>
        <v>106.81492270708834</v>
      </c>
      <c r="AE132" s="190"/>
      <c r="AF132" s="188">
        <f>IF(E132=units!$N$8,P132,"")</f>
      </c>
      <c r="AG132" s="188">
        <f>IF(E132=units!$M$8,W132,"")</f>
      </c>
      <c r="AH132" s="188">
        <f>IF(E132=units!$L$8,AD132,"")</f>
        <v>106.81492270708834</v>
      </c>
      <c r="AI132" s="188">
        <f t="shared" si="60"/>
        <v>106.81492270708834</v>
      </c>
      <c r="AJ132" s="199">
        <v>2</v>
      </c>
      <c r="AK132" s="255">
        <f t="shared" si="61"/>
        <v>213.62984541417669</v>
      </c>
      <c r="AL132" s="256">
        <f t="shared" si="37"/>
        <v>37385.22294748092</v>
      </c>
      <c r="AM132" s="144"/>
      <c r="AN132" s="144"/>
      <c r="AO132" s="144"/>
    </row>
    <row r="133" spans="1:41" ht="15.75">
      <c r="A133" s="294">
        <v>124</v>
      </c>
      <c r="B133" s="191" t="s">
        <v>308</v>
      </c>
      <c r="C133" s="182">
        <v>3</v>
      </c>
      <c r="D133" s="191" t="s">
        <v>310</v>
      </c>
      <c r="E133" s="192" t="str">
        <f>IF(ISNUMBER(C133),IF(C133&lt;=units!$L$7,units!$L$8,IF(C133&lt;=units!$N$7,units!$M$8,IF(C133&gt;units!$O$8,"OXI",units!$N$8))),"--")</f>
        <v>TAXI</v>
      </c>
      <c r="F133" s="183">
        <v>0</v>
      </c>
      <c r="G133" s="184">
        <v>23</v>
      </c>
      <c r="H133" s="185">
        <v>0</v>
      </c>
      <c r="I133" s="186">
        <f t="shared" si="50"/>
        <v>23</v>
      </c>
      <c r="J133" s="282"/>
      <c r="K133" s="277">
        <f>(units!$B$4*(F133*1.2*units!$B$23+G133*1.2*units!$D$23+H133*1.2*units!$E$23))+(F133*1.2*units!$B$31+G133*1.2*units!$D$31+H133*1.2*units!$E$31)+(F133*1.2*units!$B$35+G133*1.2*units!$D$35+H133*1.2*units!$E$35)</f>
        <v>22.33571612307692</v>
      </c>
      <c r="L133" s="187">
        <f>units!$F$8*((F133*1.2/units!$B$19)*60+((G133*1.2/units!$D$19)*60)+((H133*1.2/units!$E$19)*60))/60</f>
        <v>4.9653133903133915</v>
      </c>
      <c r="M133" s="187">
        <f>units!$H$8*((F133*1.2/units!$B$19)*60+((G133*1.2/units!$D$19)*60)+((H133*1.2/units!$E$19)*60))/60</f>
        <v>9.292929292929292</v>
      </c>
      <c r="N133" s="187">
        <f t="shared" si="51"/>
        <v>9.148489701579901</v>
      </c>
      <c r="O133" s="187">
        <f t="shared" si="52"/>
        <v>6.861367276184926</v>
      </c>
      <c r="P133" s="188">
        <f t="shared" si="53"/>
        <v>52.60381578408444</v>
      </c>
      <c r="Q133" s="189"/>
      <c r="R133" s="187">
        <f>(F133*1.2*units!$B$36+G133*1.2*units!$D$36+H133*1.2*units!$E$36)+(F133*1.2*units!$B$32+G133*1.2*units!$D$32+H133*1.2*units!$E$32)+(units!$B$4*(F133*1.2*units!$B$24+G133*1.2*units!$D$24+H133*1.2*units!$E$24))</f>
        <v>12.152165353846154</v>
      </c>
      <c r="S133" s="187">
        <f>units!$F$9*(((F133*1.2/units!$B$20)*60)+((G133*1.2/units!$D$20)*60)+((H133*1.2/units!$E$20)*60))/60</f>
        <v>3.290277777777777</v>
      </c>
      <c r="T133" s="187">
        <f>units!$H$9*(((F133*1.2/units!$B$20)*60)+((G133*1.2/units!$D$20)*60)+((H133*1.2/units!$E$20)*60))/60</f>
        <v>9.292929292929292</v>
      </c>
      <c r="U133" s="187">
        <f t="shared" si="54"/>
        <v>6.183843106138307</v>
      </c>
      <c r="V133" s="187">
        <f t="shared" si="55"/>
        <v>4.6378823296037295</v>
      </c>
      <c r="W133" s="188">
        <f t="shared" si="56"/>
        <v>35.55709786029526</v>
      </c>
      <c r="X133" s="189"/>
      <c r="Y133" s="187">
        <f>(units!$B$4*(units!$B$25*F133*1.2+units!$D$25*G133*1.2+units!$E$25*H133*1.2)+(F133*1.2*units!$B$33+G133*1.2*units!$D$33+H133*1.2*units!$E$33)+(F133*1.2*units!$B$37+G133*1.2*units!$D$37+H133*1.2*units!$E$37))</f>
        <v>5.242718530069929</v>
      </c>
      <c r="Z133" s="187">
        <f>units!$F$10*(((F133*1.2/units!$B$21)*60)+((G133*1.2/units!$D$21)*60)+((H133*1.2/units!$E$21)*60))/60</f>
        <v>0.6286130536130536</v>
      </c>
      <c r="AA133" s="187">
        <f>units!$H$10*(((F133*1.2/units!$B$21)*60)+((G133*1.2/units!$D$21)*60)+((H133*1.2/units!$E$21)*60))/60</f>
        <v>6.336088154269973</v>
      </c>
      <c r="AB133" s="187">
        <f t="shared" si="57"/>
        <v>3.051854934488239</v>
      </c>
      <c r="AC133" s="187">
        <f t="shared" si="58"/>
        <v>2.288891200866179</v>
      </c>
      <c r="AD133" s="188">
        <f t="shared" si="59"/>
        <v>17.548165873307372</v>
      </c>
      <c r="AE133" s="190"/>
      <c r="AF133" s="188">
        <f>IF(E133=units!$N$8,P133,"")</f>
      </c>
      <c r="AG133" s="188">
        <f>IF(E133=units!$M$8,W133,"")</f>
      </c>
      <c r="AH133" s="188">
        <f>IF(E133=units!$L$8,AD133,"")</f>
        <v>17.548165873307372</v>
      </c>
      <c r="AI133" s="188">
        <f t="shared" si="60"/>
        <v>17.548165873307372</v>
      </c>
      <c r="AJ133" s="199">
        <v>10</v>
      </c>
      <c r="AK133" s="255">
        <f t="shared" si="61"/>
        <v>175.48165873307371</v>
      </c>
      <c r="AL133" s="256">
        <f t="shared" si="37"/>
        <v>30709.2902782879</v>
      </c>
      <c r="AM133" s="144"/>
      <c r="AN133" s="144"/>
      <c r="AO133" s="144"/>
    </row>
    <row r="134" spans="1:41" ht="15.75">
      <c r="A134" s="294">
        <v>125</v>
      </c>
      <c r="B134" s="191" t="s">
        <v>308</v>
      </c>
      <c r="C134" s="182">
        <v>4</v>
      </c>
      <c r="D134" s="191" t="s">
        <v>311</v>
      </c>
      <c r="E134" s="192" t="str">
        <f>IF(ISNUMBER(C134),IF(C134&lt;=units!$L$7,units!$L$8,IF(C134&lt;=units!$N$7,units!$M$8,IF(C134&gt;units!$O$8,"OXI",units!$N$8))),"--")</f>
        <v>TAXI</v>
      </c>
      <c r="F134" s="183">
        <v>0</v>
      </c>
      <c r="G134" s="184">
        <v>0</v>
      </c>
      <c r="H134" s="185">
        <v>45</v>
      </c>
      <c r="I134" s="186">
        <f t="shared" si="50"/>
        <v>45</v>
      </c>
      <c r="J134" s="282"/>
      <c r="K134" s="277">
        <f>(units!$B$4*(F134*1.2*units!$B$23+G134*1.2*units!$D$23+H134*1.2*units!$E$23))+(F134*1.2*units!$B$31+G134*1.2*units!$D$31+H134*1.2*units!$E$31)+(F134*1.2*units!$B$35+G134*1.2*units!$D$35+H134*1.2*units!$E$35)</f>
        <v>68.92814334065933</v>
      </c>
      <c r="L134" s="187">
        <f>units!$F$8*((F134*1.2/units!$B$19)*60+((G134*1.2/units!$D$19)*60)+((H134*1.2/units!$E$19)*60))/60</f>
        <v>12.490384615384617</v>
      </c>
      <c r="M134" s="187">
        <f>units!$H$8*((F134*1.2/units!$B$19)*60+((G134*1.2/units!$D$19)*60)+((H134*1.2/units!$E$19)*60))/60</f>
        <v>23.376623376623378</v>
      </c>
      <c r="N134" s="187">
        <f t="shared" si="51"/>
        <v>26.198787833166833</v>
      </c>
      <c r="O134" s="187">
        <f t="shared" si="52"/>
        <v>19.64909087487512</v>
      </c>
      <c r="P134" s="188">
        <f t="shared" si="53"/>
        <v>150.64303004070928</v>
      </c>
      <c r="Q134" s="189"/>
      <c r="R134" s="187">
        <f>(F134*1.2*units!$B$36+G134*1.2*units!$D$36+H134*1.2*units!$E$36)+(F134*1.2*units!$B$32+G134*1.2*units!$D$32+H134*1.2*units!$E$32)+(units!$B$4*(F134*1.2*units!$B$24+G134*1.2*units!$D$24+H134*1.2*units!$E$24))</f>
        <v>30.420827604395605</v>
      </c>
      <c r="S134" s="187">
        <f>units!$F$9*(((F134*1.2/units!$B$20)*60)+((G134*1.2/units!$D$20)*60)+((H134*1.2/units!$E$20)*60))/60</f>
        <v>8.276785714285714</v>
      </c>
      <c r="T134" s="187">
        <f>units!$H$9*(((F134*1.2/units!$B$20)*60)+((G134*1.2/units!$D$20)*60)+((H134*1.2/units!$E$20)*60))/60</f>
        <v>23.376623376623378</v>
      </c>
      <c r="U134" s="187">
        <f t="shared" si="54"/>
        <v>15.518559173826175</v>
      </c>
      <c r="V134" s="187">
        <f t="shared" si="55"/>
        <v>11.63891938036963</v>
      </c>
      <c r="W134" s="188">
        <f t="shared" si="56"/>
        <v>89.2317152495005</v>
      </c>
      <c r="X134" s="189"/>
      <c r="Y134" s="187">
        <f>(units!$B$4*(units!$B$25*F134*1.2+units!$D$25*G134*1.2+units!$E$25*H134*1.2)+(F134*1.2*units!$B$33+G134*1.2*units!$D$33+H134*1.2*units!$E$33)+(F134*1.2*units!$B$37+G134*1.2*units!$D$37+H134*1.2*units!$E$37))</f>
        <v>11.994307615384614</v>
      </c>
      <c r="Z134" s="187">
        <f>units!$F$10*(((F134*1.2/units!$B$21)*60)+((G134*1.2/units!$D$21)*60)+((H134*1.2/units!$E$21)*60))/60</f>
        <v>1.5032051282051284</v>
      </c>
      <c r="AA134" s="187">
        <f>units!$H$10*(((F134*1.2/units!$B$21)*60)+((G134*1.2/units!$D$21)*60)+((H134*1.2/units!$E$21)*60))/60</f>
        <v>15.151515151515152</v>
      </c>
      <c r="AB134" s="187">
        <f t="shared" si="57"/>
        <v>7.162256973776223</v>
      </c>
      <c r="AC134" s="187">
        <f t="shared" si="58"/>
        <v>5.3716927303321675</v>
      </c>
      <c r="AD134" s="188">
        <f t="shared" si="59"/>
        <v>41.18297759921329</v>
      </c>
      <c r="AE134" s="190"/>
      <c r="AF134" s="188">
        <f>IF(E134=units!$N$8,P134,"")</f>
      </c>
      <c r="AG134" s="188">
        <f>IF(E134=units!$M$8,W134,"")</f>
      </c>
      <c r="AH134" s="188">
        <f>IF(E134=units!$L$8,AD134,"")</f>
        <v>41.18297759921329</v>
      </c>
      <c r="AI134" s="188">
        <f t="shared" si="60"/>
        <v>41.18297759921329</v>
      </c>
      <c r="AJ134" s="199">
        <v>6</v>
      </c>
      <c r="AK134" s="255">
        <f t="shared" si="61"/>
        <v>247.09786559527973</v>
      </c>
      <c r="AL134" s="256">
        <f t="shared" si="37"/>
        <v>43242.12647917395</v>
      </c>
      <c r="AM134" s="144"/>
      <c r="AN134" s="144"/>
      <c r="AO134" s="144"/>
    </row>
    <row r="135" spans="1:41" ht="15.75">
      <c r="A135" s="294">
        <v>126</v>
      </c>
      <c r="B135" s="191" t="s">
        <v>308</v>
      </c>
      <c r="C135" s="182">
        <v>4</v>
      </c>
      <c r="D135" s="191" t="s">
        <v>312</v>
      </c>
      <c r="E135" s="192" t="str">
        <f>IF(ISNUMBER(C135),IF(C135&lt;=units!$L$7,units!$L$8,IF(C135&lt;=units!$N$7,units!$M$8,IF(C135&gt;units!$O$8,"OXI",units!$N$8))),"--")</f>
        <v>TAXI</v>
      </c>
      <c r="F135" s="183">
        <v>0</v>
      </c>
      <c r="G135" s="184">
        <v>0</v>
      </c>
      <c r="H135" s="185">
        <v>50</v>
      </c>
      <c r="I135" s="186">
        <f t="shared" si="50"/>
        <v>50</v>
      </c>
      <c r="J135" s="282"/>
      <c r="K135" s="277">
        <f>(units!$B$4*(F135*1.2*units!$B$23+G135*1.2*units!$D$23+H135*1.2*units!$E$23))+(F135*1.2*units!$B$31+G135*1.2*units!$D$31+H135*1.2*units!$E$31)+(F135*1.2*units!$B$35+G135*1.2*units!$D$35+H135*1.2*units!$E$35)</f>
        <v>76.58682593406593</v>
      </c>
      <c r="L135" s="187">
        <f>units!$F$8*((F135*1.2/units!$B$19)*60+((G135*1.2/units!$D$19)*60)+((H135*1.2/units!$E$19)*60))/60</f>
        <v>13.87820512820513</v>
      </c>
      <c r="M135" s="187">
        <f>units!$H$8*((F135*1.2/units!$B$19)*60+((G135*1.2/units!$D$19)*60)+((H135*1.2/units!$E$19)*60))/60</f>
        <v>25.97402597402597</v>
      </c>
      <c r="N135" s="187">
        <f t="shared" si="51"/>
        <v>29.109764259074254</v>
      </c>
      <c r="O135" s="187">
        <f t="shared" si="52"/>
        <v>21.83232319430569</v>
      </c>
      <c r="P135" s="188">
        <f t="shared" si="53"/>
        <v>167.38114448967698</v>
      </c>
      <c r="Q135" s="189"/>
      <c r="R135" s="187">
        <f>(F135*1.2*units!$B$36+G135*1.2*units!$D$36+H135*1.2*units!$E$36)+(F135*1.2*units!$B$32+G135*1.2*units!$D$32+H135*1.2*units!$E$32)+(units!$B$4*(F135*1.2*units!$B$24+G135*1.2*units!$D$24+H135*1.2*units!$E$24))</f>
        <v>33.80091956043956</v>
      </c>
      <c r="S135" s="187">
        <f>units!$F$9*(((F135*1.2/units!$B$20)*60)+((G135*1.2/units!$D$20)*60)+((H135*1.2/units!$E$20)*60))/60</f>
        <v>9.196428571428571</v>
      </c>
      <c r="T135" s="187">
        <f>units!$H$9*(((F135*1.2/units!$B$20)*60)+((G135*1.2/units!$D$20)*60)+((H135*1.2/units!$E$20)*60))/60</f>
        <v>25.97402597402597</v>
      </c>
      <c r="U135" s="187">
        <f t="shared" si="54"/>
        <v>17.242843526473525</v>
      </c>
      <c r="V135" s="187">
        <f t="shared" si="55"/>
        <v>12.932132644855143</v>
      </c>
      <c r="W135" s="188">
        <f t="shared" si="56"/>
        <v>99.14635027722277</v>
      </c>
      <c r="X135" s="189"/>
      <c r="Y135" s="187">
        <f>(units!$B$4*(units!$B$25*F135*1.2+units!$D$25*G135*1.2+units!$E$25*H135*1.2)+(F135*1.2*units!$B$33+G135*1.2*units!$D$33+H135*1.2*units!$E$33)+(F135*1.2*units!$B$37+G135*1.2*units!$D$37+H135*1.2*units!$E$37))</f>
        <v>13.327008461538464</v>
      </c>
      <c r="Z135" s="187">
        <f>units!$F$10*(((F135*1.2/units!$B$21)*60)+((G135*1.2/units!$D$21)*60)+((H135*1.2/units!$E$21)*60))/60</f>
        <v>1.6702279202279204</v>
      </c>
      <c r="AA135" s="187">
        <f>units!$H$10*(((F135*1.2/units!$B$21)*60)+((G135*1.2/units!$D$21)*60)+((H135*1.2/units!$E$21)*60))/60</f>
        <v>16.835016835016837</v>
      </c>
      <c r="AB135" s="187">
        <f t="shared" si="57"/>
        <v>7.9580633041958055</v>
      </c>
      <c r="AC135" s="187">
        <f t="shared" si="58"/>
        <v>5.968547478146854</v>
      </c>
      <c r="AD135" s="188">
        <f t="shared" si="59"/>
        <v>45.75886399912588</v>
      </c>
      <c r="AE135" s="190"/>
      <c r="AF135" s="188">
        <f>IF(E135=units!$N$8,P135,"")</f>
      </c>
      <c r="AG135" s="188">
        <f>IF(E135=units!$M$8,W135,"")</f>
      </c>
      <c r="AH135" s="188">
        <f>IF(E135=units!$L$8,AD135,"")</f>
        <v>45.75886399912588</v>
      </c>
      <c r="AI135" s="188">
        <f t="shared" si="60"/>
        <v>45.75886399912588</v>
      </c>
      <c r="AJ135" s="199">
        <v>2</v>
      </c>
      <c r="AK135" s="255">
        <f t="shared" si="61"/>
        <v>91.51772799825176</v>
      </c>
      <c r="AL135" s="256">
        <f t="shared" si="37"/>
        <v>16015.602399694057</v>
      </c>
      <c r="AM135" s="144"/>
      <c r="AN135" s="144"/>
      <c r="AO135" s="144"/>
    </row>
    <row r="136" spans="1:41" ht="15.75">
      <c r="A136" s="294">
        <v>127</v>
      </c>
      <c r="B136" s="191" t="s">
        <v>308</v>
      </c>
      <c r="C136" s="182">
        <v>4</v>
      </c>
      <c r="D136" s="191" t="s">
        <v>313</v>
      </c>
      <c r="E136" s="192" t="str">
        <f>IF(ISNUMBER(C136),IF(C136&lt;=units!$L$7,units!$L$8,IF(C136&lt;=units!$N$7,units!$M$8,IF(C136&gt;units!$O$8,"OXI",units!$N$8))),"--")</f>
        <v>TAXI</v>
      </c>
      <c r="F136" s="183">
        <v>0</v>
      </c>
      <c r="G136" s="184">
        <v>37</v>
      </c>
      <c r="H136" s="185">
        <v>0</v>
      </c>
      <c r="I136" s="186">
        <f aca="true" t="shared" si="62" ref="I136:I143">IF(SUM(F136:H136)=0,"--",SUM(F136:H136))</f>
        <v>37</v>
      </c>
      <c r="J136" s="282"/>
      <c r="K136" s="277">
        <f>(units!$B$4*(F136*1.2*units!$B$23+G136*1.2*units!$D$23+H136*1.2*units!$E$23))+(F136*1.2*units!$B$31+G136*1.2*units!$D$31+H136*1.2*units!$E$31)+(F136*1.2*units!$B$35+G136*1.2*units!$D$35+H136*1.2*units!$E$35)</f>
        <v>35.93136941538461</v>
      </c>
      <c r="L136" s="187">
        <f>units!$F$8*((F136*1.2/units!$B$19)*60+((G136*1.2/units!$D$19)*60)+((H136*1.2/units!$E$19)*60))/60</f>
        <v>7.987678062678063</v>
      </c>
      <c r="M136" s="187">
        <f>units!$H$8*((F136*1.2/units!$B$19)*60+((G136*1.2/units!$D$19)*60)+((H136*1.2/units!$E$19)*60))/60</f>
        <v>14.94949494949495</v>
      </c>
      <c r="N136" s="187">
        <f aca="true" t="shared" si="63" ref="N136:N143">0.25*(K136+L136+M136)</f>
        <v>14.717135606889405</v>
      </c>
      <c r="O136" s="187">
        <f aca="true" t="shared" si="64" ref="O136:O143">0.15*(K136+L136+M136+N136)</f>
        <v>11.037851705167053</v>
      </c>
      <c r="P136" s="188">
        <f aca="true" t="shared" si="65" ref="P136:P143">SUM(K136:O136)</f>
        <v>84.62352973961409</v>
      </c>
      <c r="Q136" s="189"/>
      <c r="R136" s="187">
        <f>(F136*1.2*units!$B$36+G136*1.2*units!$D$36+H136*1.2*units!$E$36)+(F136*1.2*units!$B$32+G136*1.2*units!$D$32+H136*1.2*units!$E$32)+(units!$B$4*(F136*1.2*units!$B$24+G136*1.2*units!$D$24+H136*1.2*units!$E$24))</f>
        <v>19.549135569230767</v>
      </c>
      <c r="S136" s="187">
        <f>units!$F$9*(((F136*1.2/units!$B$20)*60)+((G136*1.2/units!$D$20)*60)+((H136*1.2/units!$E$20)*60))/60</f>
        <v>5.293055555555555</v>
      </c>
      <c r="T136" s="187">
        <f>units!$H$9*(((F136*1.2/units!$B$20)*60)+((G136*1.2/units!$D$20)*60)+((H136*1.2/units!$E$20)*60))/60</f>
        <v>14.94949494949495</v>
      </c>
      <c r="U136" s="187">
        <f aca="true" t="shared" si="66" ref="U136:U143">0.25*(R136+S136+T136)</f>
        <v>9.947921518570318</v>
      </c>
      <c r="V136" s="187">
        <f aca="true" t="shared" si="67" ref="V136:V143">0.15*(R136+S136+T136+U136)</f>
        <v>7.460941138927739</v>
      </c>
      <c r="W136" s="188">
        <f aca="true" t="shared" si="68" ref="W136:W143">SUM(R136:V136)</f>
        <v>57.20054873177933</v>
      </c>
      <c r="X136" s="189"/>
      <c r="Y136" s="187">
        <f>(units!$B$4*(units!$B$25*F136*1.2+units!$D$25*G136*1.2+units!$E$25*H136*1.2)+(F136*1.2*units!$B$33+G136*1.2*units!$D$33+H136*1.2*units!$E$33)+(F136*1.2*units!$B$37+G136*1.2*units!$D$37+H136*1.2*units!$E$37))</f>
        <v>8.433938504895105</v>
      </c>
      <c r="Z136" s="187">
        <f>units!$F$10*(((F136*1.2/units!$B$21)*60)+((G136*1.2/units!$D$21)*60)+((H136*1.2/units!$E$21)*60))/60</f>
        <v>1.0112470862470864</v>
      </c>
      <c r="AA136" s="187">
        <f>units!$H$10*(((F136*1.2/units!$B$21)*60)+((G136*1.2/units!$D$21)*60)+((H136*1.2/units!$E$21)*60))/60</f>
        <v>10.192837465564738</v>
      </c>
      <c r="AB136" s="187">
        <f aca="true" t="shared" si="69" ref="AB136:AB143">0.25*(Y136+Z136+AA136)</f>
        <v>4.909505764176732</v>
      </c>
      <c r="AC136" s="187">
        <f aca="true" t="shared" si="70" ref="AC136:AC143">0.15*(Y136+Z136+AA136+AB136)</f>
        <v>3.682129323132549</v>
      </c>
      <c r="AD136" s="188">
        <f aca="true" t="shared" si="71" ref="AD136:AD143">SUM(Y136:AC136)</f>
        <v>28.22965814401621</v>
      </c>
      <c r="AE136" s="190"/>
      <c r="AF136" s="188">
        <f>IF(E136=units!$N$8,P136,"")</f>
      </c>
      <c r="AG136" s="188">
        <f>IF(E136=units!$M$8,W136,"")</f>
      </c>
      <c r="AH136" s="188">
        <f>IF(E136=units!$L$8,AD136,"")</f>
        <v>28.22965814401621</v>
      </c>
      <c r="AI136" s="188">
        <f aca="true" t="shared" si="72" ref="AI136:AI143">IF(SUM(AF136:AH136)&gt;0,SUM(AF136:AH136),"")</f>
        <v>28.22965814401621</v>
      </c>
      <c r="AJ136" s="199">
        <v>2</v>
      </c>
      <c r="AK136" s="255">
        <f aca="true" t="shared" si="73" ref="AK136:AK143">AI136*AJ136</f>
        <v>56.45931628803242</v>
      </c>
      <c r="AL136" s="256">
        <f t="shared" si="37"/>
        <v>9880.380350405674</v>
      </c>
      <c r="AM136" s="144"/>
      <c r="AN136" s="144"/>
      <c r="AO136" s="144"/>
    </row>
    <row r="137" spans="1:41" ht="15.75">
      <c r="A137" s="294">
        <v>128</v>
      </c>
      <c r="B137" s="191" t="s">
        <v>308</v>
      </c>
      <c r="C137" s="182">
        <v>4</v>
      </c>
      <c r="D137" s="191" t="s">
        <v>314</v>
      </c>
      <c r="E137" s="192" t="str">
        <f>IF(ISNUMBER(C137),IF(C137&lt;=units!$L$7,units!$L$8,IF(C137&lt;=units!$N$7,units!$M$8,IF(C137&gt;units!$O$8,"OXI",units!$N$8))),"--")</f>
        <v>TAXI</v>
      </c>
      <c r="F137" s="183"/>
      <c r="G137" s="184">
        <v>0</v>
      </c>
      <c r="H137" s="185">
        <v>65</v>
      </c>
      <c r="I137" s="186">
        <f t="shared" si="62"/>
        <v>65</v>
      </c>
      <c r="J137" s="282"/>
      <c r="K137" s="277">
        <f>(units!$B$4*(F137*1.2*units!$B$23+G137*1.2*units!$D$23+H137*1.2*units!$E$23))+(F137*1.2*units!$B$31+G137*1.2*units!$D$31+H137*1.2*units!$E$31)+(F137*1.2*units!$B$35+G137*1.2*units!$D$35+H137*1.2*units!$E$35)</f>
        <v>99.5628737142857</v>
      </c>
      <c r="L137" s="187">
        <f>units!$F$8*((F137*1.2/units!$B$19)*60+((G137*1.2/units!$D$19)*60)+((H137*1.2/units!$E$19)*60))/60</f>
        <v>18.04166666666667</v>
      </c>
      <c r="M137" s="187">
        <f>units!$H$8*((F137*1.2/units!$B$19)*60+((G137*1.2/units!$D$19)*60)+((H137*1.2/units!$E$19)*60))/60</f>
        <v>33.766233766233775</v>
      </c>
      <c r="N137" s="187">
        <f t="shared" si="63"/>
        <v>37.84269353679654</v>
      </c>
      <c r="O137" s="187">
        <f t="shared" si="64"/>
        <v>28.382020152597402</v>
      </c>
      <c r="P137" s="188">
        <f t="shared" si="65"/>
        <v>217.59548783658008</v>
      </c>
      <c r="Q137" s="189"/>
      <c r="R137" s="187">
        <f>(F137*1.2*units!$B$36+G137*1.2*units!$D$36+H137*1.2*units!$E$36)+(F137*1.2*units!$B$32+G137*1.2*units!$D$32+H137*1.2*units!$E$32)+(units!$B$4*(F137*1.2*units!$B$24+G137*1.2*units!$D$24+H137*1.2*units!$E$24))</f>
        <v>43.941195428571426</v>
      </c>
      <c r="S137" s="187">
        <f>units!$F$9*(((F137*1.2/units!$B$20)*60)+((G137*1.2/units!$D$20)*60)+((H137*1.2/units!$E$20)*60))/60</f>
        <v>11.955357142857142</v>
      </c>
      <c r="T137" s="187">
        <f>units!$H$9*(((F137*1.2/units!$B$20)*60)+((G137*1.2/units!$D$20)*60)+((H137*1.2/units!$E$20)*60))/60</f>
        <v>33.766233766233775</v>
      </c>
      <c r="U137" s="187">
        <f t="shared" si="66"/>
        <v>22.415696584415585</v>
      </c>
      <c r="V137" s="187">
        <f t="shared" si="67"/>
        <v>16.81177243831169</v>
      </c>
      <c r="W137" s="188">
        <f t="shared" si="68"/>
        <v>128.8902553603896</v>
      </c>
      <c r="X137" s="189"/>
      <c r="Y137" s="187">
        <f>(units!$B$4*(units!$B$25*F137*1.2+units!$D$25*G137*1.2+units!$E$25*H137*1.2)+(F137*1.2*units!$B$33+G137*1.2*units!$D$33+H137*1.2*units!$E$33)+(F137*1.2*units!$B$37+G137*1.2*units!$D$37+H137*1.2*units!$E$37))</f>
        <v>17.325111</v>
      </c>
      <c r="Z137" s="187">
        <f>units!$F$10*(((F137*1.2/units!$B$21)*60)+((G137*1.2/units!$D$21)*60)+((H137*1.2/units!$E$21)*60))/60</f>
        <v>2.1712962962962967</v>
      </c>
      <c r="AA137" s="187">
        <f>units!$H$10*(((F137*1.2/units!$B$21)*60)+((G137*1.2/units!$D$21)*60)+((H137*1.2/units!$E$21)*60))/60</f>
        <v>21.885521885521886</v>
      </c>
      <c r="AB137" s="187">
        <f t="shared" si="69"/>
        <v>10.345482295454545</v>
      </c>
      <c r="AC137" s="187">
        <f t="shared" si="70"/>
        <v>7.759111721590909</v>
      </c>
      <c r="AD137" s="188">
        <f t="shared" si="71"/>
        <v>59.48652319886364</v>
      </c>
      <c r="AE137" s="190"/>
      <c r="AF137" s="188">
        <f>IF(E137=units!$N$8,P137,"")</f>
      </c>
      <c r="AG137" s="188">
        <f>IF(E137=units!$M$8,W137,"")</f>
      </c>
      <c r="AH137" s="188">
        <f>IF(E137=units!$L$8,AD137,"")</f>
        <v>59.48652319886364</v>
      </c>
      <c r="AI137" s="188">
        <f t="shared" si="72"/>
        <v>59.48652319886364</v>
      </c>
      <c r="AJ137" s="199">
        <v>2</v>
      </c>
      <c r="AK137" s="255">
        <f t="shared" si="73"/>
        <v>118.97304639772727</v>
      </c>
      <c r="AL137" s="256">
        <f t="shared" si="37"/>
        <v>20820.283119602274</v>
      </c>
      <c r="AM137" s="144"/>
      <c r="AN137" s="144"/>
      <c r="AO137" s="144"/>
    </row>
    <row r="138" spans="1:41" ht="15.75">
      <c r="A138" s="294">
        <v>129</v>
      </c>
      <c r="B138" s="191" t="s">
        <v>308</v>
      </c>
      <c r="C138" s="182">
        <v>1</v>
      </c>
      <c r="D138" s="191" t="s">
        <v>137</v>
      </c>
      <c r="E138" s="192" t="str">
        <f>IF(ISNUMBER(C138),IF(C138&lt;=units!$L$7,units!$L$8,IF(C138&lt;=units!$N$7,units!$M$8,IF(C138&gt;units!$O$8,"OXI",units!$N$8))),"--")</f>
        <v>TAXI</v>
      </c>
      <c r="F138" s="183">
        <v>0</v>
      </c>
      <c r="G138" s="184">
        <v>33</v>
      </c>
      <c r="H138" s="185">
        <v>0</v>
      </c>
      <c r="I138" s="186">
        <f t="shared" si="62"/>
        <v>33</v>
      </c>
      <c r="J138" s="282"/>
      <c r="K138" s="277">
        <f>(units!$B$4*(F138*1.2*units!$B$23+G138*1.2*units!$D$23+H138*1.2*units!$E$23))+(F138*1.2*units!$B$31+G138*1.2*units!$D$31+H138*1.2*units!$E$31)+(F138*1.2*units!$B$35+G138*1.2*units!$D$35+H138*1.2*units!$E$35)</f>
        <v>32.046897046153845</v>
      </c>
      <c r="L138" s="187">
        <f>units!$F$8*((F138*1.2/units!$B$19)*60+((G138*1.2/units!$D$19)*60)+((H138*1.2/units!$E$19)*60))/60</f>
        <v>7.1241452991453</v>
      </c>
      <c r="M138" s="187">
        <f>units!$H$8*((F138*1.2/units!$B$19)*60+((G138*1.2/units!$D$19)*60)+((H138*1.2/units!$E$19)*60))/60</f>
        <v>13.333333333333334</v>
      </c>
      <c r="N138" s="187">
        <f t="shared" si="63"/>
        <v>13.12609391965812</v>
      </c>
      <c r="O138" s="187">
        <f t="shared" si="64"/>
        <v>9.84457043974359</v>
      </c>
      <c r="P138" s="188">
        <f t="shared" si="65"/>
        <v>75.4750400380342</v>
      </c>
      <c r="Q138" s="189"/>
      <c r="R138" s="187">
        <f>(F138*1.2*units!$B$36+G138*1.2*units!$D$36+H138*1.2*units!$E$36)+(F138*1.2*units!$B$32+G138*1.2*units!$D$32+H138*1.2*units!$E$32)+(units!$B$4*(F138*1.2*units!$B$24+G138*1.2*units!$D$24+H138*1.2*units!$E$24))</f>
        <v>17.435715507692308</v>
      </c>
      <c r="S138" s="187">
        <f>units!$F$9*(((F138*1.2/units!$B$20)*60)+((G138*1.2/units!$D$20)*60)+((H138*1.2/units!$E$20)*60))/60</f>
        <v>4.720833333333332</v>
      </c>
      <c r="T138" s="187">
        <f>units!$H$9*(((F138*1.2/units!$B$20)*60)+((G138*1.2/units!$D$20)*60)+((H138*1.2/units!$E$20)*60))/60</f>
        <v>13.333333333333334</v>
      </c>
      <c r="U138" s="187">
        <f t="shared" si="66"/>
        <v>8.872470543589744</v>
      </c>
      <c r="V138" s="187">
        <f t="shared" si="67"/>
        <v>6.654352907692307</v>
      </c>
      <c r="W138" s="188">
        <f t="shared" si="68"/>
        <v>51.01670562564102</v>
      </c>
      <c r="X138" s="189"/>
      <c r="Y138" s="187">
        <f>(units!$B$4*(units!$B$25*F138*1.2+units!$D$25*G138*1.2+units!$E$25*H138*1.2)+(F138*1.2*units!$B$33+G138*1.2*units!$D$33+H138*1.2*units!$E$33)+(F138*1.2*units!$B$37+G138*1.2*units!$D$37+H138*1.2*units!$E$37))</f>
        <v>7.522161369230769</v>
      </c>
      <c r="Z138" s="187">
        <f>units!$F$10*(((F138*1.2/units!$B$21)*60)+((G138*1.2/units!$D$21)*60)+((H138*1.2/units!$E$21)*60))/60</f>
        <v>0.901923076923077</v>
      </c>
      <c r="AA138" s="187">
        <f>units!$H$10*(((F138*1.2/units!$B$21)*60)+((G138*1.2/units!$D$21)*60)+((H138*1.2/units!$E$21)*60))/60</f>
        <v>9.09090909090909</v>
      </c>
      <c r="AB138" s="187">
        <f t="shared" si="69"/>
        <v>4.378748384265734</v>
      </c>
      <c r="AC138" s="187">
        <f t="shared" si="70"/>
        <v>3.2840612881993003</v>
      </c>
      <c r="AD138" s="188">
        <f t="shared" si="71"/>
        <v>25.17780320952797</v>
      </c>
      <c r="AE138" s="190"/>
      <c r="AF138" s="188">
        <f>IF(E138=units!$N$8,P138,"")</f>
      </c>
      <c r="AG138" s="188">
        <f>IF(E138=units!$M$8,W138,"")</f>
      </c>
      <c r="AH138" s="188">
        <f>IF(E138=units!$L$8,AD138,"")</f>
        <v>25.17780320952797</v>
      </c>
      <c r="AI138" s="188">
        <f t="shared" si="72"/>
        <v>25.17780320952797</v>
      </c>
      <c r="AJ138" s="199">
        <v>6</v>
      </c>
      <c r="AK138" s="255">
        <f t="shared" si="73"/>
        <v>151.06681925716782</v>
      </c>
      <c r="AL138" s="256">
        <f t="shared" si="37"/>
        <v>26436.69337000437</v>
      </c>
      <c r="AM138" s="144"/>
      <c r="AN138" s="144"/>
      <c r="AO138" s="144"/>
    </row>
    <row r="139" spans="1:41" ht="15.75">
      <c r="A139" s="294">
        <v>130</v>
      </c>
      <c r="B139" s="191" t="s">
        <v>308</v>
      </c>
      <c r="C139" s="182">
        <v>1</v>
      </c>
      <c r="D139" s="191" t="s">
        <v>315</v>
      </c>
      <c r="E139" s="192" t="str">
        <f>IF(ISNUMBER(C139),IF(C139&lt;=units!$L$7,units!$L$8,IF(C139&lt;=units!$N$7,units!$M$8,IF(C139&gt;units!$O$8,"OXI",units!$N$8))),"--")</f>
        <v>TAXI</v>
      </c>
      <c r="F139" s="183">
        <v>0</v>
      </c>
      <c r="G139" s="184">
        <v>55</v>
      </c>
      <c r="H139" s="185">
        <v>0</v>
      </c>
      <c r="I139" s="186">
        <f t="shared" si="62"/>
        <v>55</v>
      </c>
      <c r="J139" s="282"/>
      <c r="K139" s="277">
        <f>(units!$B$4*(F139*1.2*units!$B$23+G139*1.2*units!$D$23+H139*1.2*units!$E$23))+(F139*1.2*units!$B$31+G139*1.2*units!$D$31+H139*1.2*units!$E$31)+(F139*1.2*units!$B$35+G139*1.2*units!$D$35+H139*1.2*units!$E$35)</f>
        <v>53.411495076923075</v>
      </c>
      <c r="L139" s="187">
        <f>units!$F$8*((F139*1.2/units!$B$19)*60+((G139*1.2/units!$D$19)*60)+((H139*1.2/units!$E$19)*60))/60</f>
        <v>11.8735754985755</v>
      </c>
      <c r="M139" s="187">
        <f>units!$H$8*((F139*1.2/units!$B$19)*60+((G139*1.2/units!$D$19)*60)+((H139*1.2/units!$E$19)*60))/60</f>
        <v>22.222222222222225</v>
      </c>
      <c r="N139" s="187">
        <f t="shared" si="63"/>
        <v>21.876823199430202</v>
      </c>
      <c r="O139" s="187">
        <f t="shared" si="64"/>
        <v>16.40761739957265</v>
      </c>
      <c r="P139" s="188">
        <f t="shared" si="65"/>
        <v>125.79173339672366</v>
      </c>
      <c r="Q139" s="189"/>
      <c r="R139" s="187">
        <f>(F139*1.2*units!$B$36+G139*1.2*units!$D$36+H139*1.2*units!$E$36)+(F139*1.2*units!$B$32+G139*1.2*units!$D$32+H139*1.2*units!$E$32)+(units!$B$4*(F139*1.2*units!$B$24+G139*1.2*units!$D$24+H139*1.2*units!$E$24))</f>
        <v>29.059525846153846</v>
      </c>
      <c r="S139" s="187">
        <f>units!$F$9*(((F139*1.2/units!$B$20)*60)+((G139*1.2/units!$D$20)*60)+((H139*1.2/units!$E$20)*60))/60</f>
        <v>7.868055555555555</v>
      </c>
      <c r="T139" s="187">
        <f>units!$H$9*(((F139*1.2/units!$B$20)*60)+((G139*1.2/units!$D$20)*60)+((H139*1.2/units!$E$20)*60))/60</f>
        <v>22.222222222222225</v>
      </c>
      <c r="U139" s="187">
        <f t="shared" si="66"/>
        <v>14.787450905982908</v>
      </c>
      <c r="V139" s="187">
        <f t="shared" si="67"/>
        <v>11.090588179487181</v>
      </c>
      <c r="W139" s="188">
        <f t="shared" si="68"/>
        <v>85.02784270940172</v>
      </c>
      <c r="X139" s="189"/>
      <c r="Y139" s="187">
        <f>(units!$B$4*(units!$B$25*F139*1.2+units!$D$25*G139*1.2+units!$E$25*H139*1.2)+(F139*1.2*units!$B$33+G139*1.2*units!$D$33+H139*1.2*units!$E$33)+(F139*1.2*units!$B$37+G139*1.2*units!$D$37+H139*1.2*units!$E$37))</f>
        <v>12.536935615384616</v>
      </c>
      <c r="Z139" s="187">
        <f>units!$F$10*(((F139*1.2/units!$B$21)*60)+((G139*1.2/units!$D$21)*60)+((H139*1.2/units!$E$21)*60))/60</f>
        <v>1.5032051282051284</v>
      </c>
      <c r="AA139" s="187">
        <f>units!$H$10*(((F139*1.2/units!$B$21)*60)+((G139*1.2/units!$D$21)*60)+((H139*1.2/units!$E$21)*60))/60</f>
        <v>15.151515151515152</v>
      </c>
      <c r="AB139" s="187">
        <f t="shared" si="69"/>
        <v>7.2979139737762235</v>
      </c>
      <c r="AC139" s="187">
        <f t="shared" si="70"/>
        <v>5.473435480332168</v>
      </c>
      <c r="AD139" s="188">
        <f t="shared" si="71"/>
        <v>41.96300534921329</v>
      </c>
      <c r="AE139" s="190"/>
      <c r="AF139" s="188">
        <f>IF(E139=units!$N$8,P139,"")</f>
      </c>
      <c r="AG139" s="188">
        <f>IF(E139=units!$M$8,W139,"")</f>
      </c>
      <c r="AH139" s="188">
        <f>IF(E139=units!$L$8,AD139,"")</f>
        <v>41.96300534921329</v>
      </c>
      <c r="AI139" s="188">
        <f t="shared" si="72"/>
        <v>41.96300534921329</v>
      </c>
      <c r="AJ139" s="199">
        <v>2</v>
      </c>
      <c r="AK139" s="255">
        <f t="shared" si="73"/>
        <v>83.92601069842658</v>
      </c>
      <c r="AL139" s="256">
        <f aca="true" t="shared" si="74" ref="AL139:AL145">AK139*175</f>
        <v>14687.051872224652</v>
      </c>
      <c r="AM139" s="144"/>
      <c r="AN139" s="144"/>
      <c r="AO139" s="144"/>
    </row>
    <row r="140" spans="1:41" ht="15.75">
      <c r="A140" s="294">
        <v>131</v>
      </c>
      <c r="B140" s="191" t="s">
        <v>308</v>
      </c>
      <c r="C140" s="182">
        <v>2</v>
      </c>
      <c r="D140" s="191" t="s">
        <v>316</v>
      </c>
      <c r="E140" s="192" t="str">
        <f>IF(ISNUMBER(C140),IF(C140&lt;=units!$L$7,units!$L$8,IF(C140&lt;=units!$N$7,units!$M$8,IF(C140&gt;units!$O$8,"OXI",units!$N$8))),"--")</f>
        <v>TAXI</v>
      </c>
      <c r="F140" s="183">
        <v>0</v>
      </c>
      <c r="G140" s="184">
        <v>0</v>
      </c>
      <c r="H140" s="185">
        <v>20</v>
      </c>
      <c r="I140" s="186">
        <f t="shared" si="62"/>
        <v>20</v>
      </c>
      <c r="J140" s="282"/>
      <c r="K140" s="277">
        <f>(units!$B$4*(F140*1.2*units!$B$23+G140*1.2*units!$D$23+H140*1.2*units!$E$23))+(F140*1.2*units!$B$31+G140*1.2*units!$D$31+H140*1.2*units!$E$31)+(F140*1.2*units!$B$35+G140*1.2*units!$D$35+H140*1.2*units!$E$35)</f>
        <v>30.634730373626375</v>
      </c>
      <c r="L140" s="187">
        <f>units!$F$8*((F140*1.2/units!$B$19)*60+((G140*1.2/units!$D$19)*60)+((H140*1.2/units!$E$19)*60))/60</f>
        <v>5.551282051282053</v>
      </c>
      <c r="M140" s="187">
        <f>units!$H$8*((F140*1.2/units!$B$19)*60+((G140*1.2/units!$D$19)*60)+((H140*1.2/units!$E$19)*60))/60</f>
        <v>10.389610389610391</v>
      </c>
      <c r="N140" s="187">
        <f t="shared" si="63"/>
        <v>11.643905703629704</v>
      </c>
      <c r="O140" s="187">
        <f t="shared" si="64"/>
        <v>8.732929277722278</v>
      </c>
      <c r="P140" s="188">
        <f t="shared" si="65"/>
        <v>66.9524577958708</v>
      </c>
      <c r="Q140" s="189"/>
      <c r="R140" s="187">
        <f>(F140*1.2*units!$B$36+G140*1.2*units!$D$36+H140*1.2*units!$E$36)+(F140*1.2*units!$B$32+G140*1.2*units!$D$32+H140*1.2*units!$E$32)+(units!$B$4*(F140*1.2*units!$B$24+G140*1.2*units!$D$24+H140*1.2*units!$E$24))</f>
        <v>13.520367824175825</v>
      </c>
      <c r="S140" s="187">
        <f>units!$F$9*(((F140*1.2/units!$B$20)*60)+((G140*1.2/units!$D$20)*60)+((H140*1.2/units!$E$20)*60))/60</f>
        <v>3.678571428571429</v>
      </c>
      <c r="T140" s="187">
        <f>units!$H$9*(((F140*1.2/units!$B$20)*60)+((G140*1.2/units!$D$20)*60)+((H140*1.2/units!$E$20)*60))/60</f>
        <v>10.389610389610391</v>
      </c>
      <c r="U140" s="187">
        <f t="shared" si="66"/>
        <v>6.89713741058941</v>
      </c>
      <c r="V140" s="187">
        <f t="shared" si="67"/>
        <v>5.172853057942057</v>
      </c>
      <c r="W140" s="188">
        <f t="shared" si="68"/>
        <v>39.658540110889106</v>
      </c>
      <c r="X140" s="189"/>
      <c r="Y140" s="187">
        <f>(units!$B$4*(units!$B$25*F140*1.2+units!$D$25*G140*1.2+units!$E$25*H140*1.2)+(F140*1.2*units!$B$33+G140*1.2*units!$D$33+H140*1.2*units!$E$33)+(F140*1.2*units!$B$37+G140*1.2*units!$D$37+H140*1.2*units!$E$37))</f>
        <v>5.330803384615384</v>
      </c>
      <c r="Z140" s="187">
        <f>units!$F$10*(((F140*1.2/units!$B$21)*60)+((G140*1.2/units!$D$21)*60)+((H140*1.2/units!$E$21)*60))/60</f>
        <v>0.6680911680911682</v>
      </c>
      <c r="AA140" s="187">
        <f>units!$H$10*(((F140*1.2/units!$B$21)*60)+((G140*1.2/units!$D$21)*60)+((H140*1.2/units!$E$21)*60))/60</f>
        <v>6.734006734006734</v>
      </c>
      <c r="AB140" s="187">
        <f t="shared" si="69"/>
        <v>3.1832253216783215</v>
      </c>
      <c r="AC140" s="187">
        <f t="shared" si="70"/>
        <v>2.387418991258741</v>
      </c>
      <c r="AD140" s="188">
        <f t="shared" si="71"/>
        <v>18.30354559965035</v>
      </c>
      <c r="AE140" s="190"/>
      <c r="AF140" s="188">
        <f>IF(E140=units!$N$8,P140,"")</f>
      </c>
      <c r="AG140" s="188">
        <f>IF(E140=units!$M$8,W140,"")</f>
      </c>
      <c r="AH140" s="188">
        <f>IF(E140=units!$L$8,AD140,"")</f>
        <v>18.30354559965035</v>
      </c>
      <c r="AI140" s="188">
        <f t="shared" si="72"/>
        <v>18.30354559965035</v>
      </c>
      <c r="AJ140" s="199">
        <v>6</v>
      </c>
      <c r="AK140" s="255">
        <f t="shared" si="73"/>
        <v>109.82127359790209</v>
      </c>
      <c r="AL140" s="256">
        <f t="shared" si="74"/>
        <v>19218.722879632867</v>
      </c>
      <c r="AM140" s="144"/>
      <c r="AN140" s="144"/>
      <c r="AO140" s="144"/>
    </row>
    <row r="141" spans="1:41" ht="15.75">
      <c r="A141" s="294">
        <v>132</v>
      </c>
      <c r="B141" s="191" t="s">
        <v>308</v>
      </c>
      <c r="C141" s="182">
        <v>1</v>
      </c>
      <c r="D141" s="191" t="s">
        <v>317</v>
      </c>
      <c r="E141" s="192" t="str">
        <f>IF(ISNUMBER(C141),IF(C141&lt;=units!$L$7,units!$L$8,IF(C141&lt;=units!$N$7,units!$M$8,IF(C141&gt;units!$O$8,"OXI",units!$N$8))),"--")</f>
        <v>TAXI</v>
      </c>
      <c r="F141" s="183">
        <v>0</v>
      </c>
      <c r="G141" s="184">
        <v>0</v>
      </c>
      <c r="H141" s="185">
        <v>35</v>
      </c>
      <c r="I141" s="186">
        <f t="shared" si="62"/>
        <v>35</v>
      </c>
      <c r="J141" s="282"/>
      <c r="K141" s="277">
        <f>(units!$B$4*(F141*1.2*units!$B$23+G141*1.2*units!$D$23+H141*1.2*units!$E$23))+(F141*1.2*units!$B$31+G141*1.2*units!$D$31+H141*1.2*units!$E$31)+(F141*1.2*units!$B$35+G141*1.2*units!$D$35+H141*1.2*units!$E$35)</f>
        <v>53.610778153846155</v>
      </c>
      <c r="L141" s="187">
        <f>units!$F$8*((F141*1.2/units!$B$19)*60+((G141*1.2/units!$D$19)*60)+((H141*1.2/units!$E$19)*60))/60</f>
        <v>9.714743589743591</v>
      </c>
      <c r="M141" s="187">
        <f>units!$H$8*((F141*1.2/units!$B$19)*60+((G141*1.2/units!$D$19)*60)+((H141*1.2/units!$E$19)*60))/60</f>
        <v>18.181818181818183</v>
      </c>
      <c r="N141" s="187">
        <f t="shared" si="63"/>
        <v>20.376834981351983</v>
      </c>
      <c r="O141" s="187">
        <f t="shared" si="64"/>
        <v>15.282626236013986</v>
      </c>
      <c r="P141" s="188">
        <f t="shared" si="65"/>
        <v>117.16680114277389</v>
      </c>
      <c r="Q141" s="189"/>
      <c r="R141" s="187">
        <f>(F141*1.2*units!$B$36+G141*1.2*units!$D$36+H141*1.2*units!$E$36)+(F141*1.2*units!$B$32+G141*1.2*units!$D$32+H141*1.2*units!$E$32)+(units!$B$4*(F141*1.2*units!$B$24+G141*1.2*units!$D$24+H141*1.2*units!$E$24))</f>
        <v>23.66064369230769</v>
      </c>
      <c r="S141" s="187">
        <f>units!$F$9*(((F141*1.2/units!$B$20)*60)+((G141*1.2/units!$D$20)*60)+((H141*1.2/units!$E$20)*60))/60</f>
        <v>6.4375</v>
      </c>
      <c r="T141" s="187">
        <f>units!$H$9*(((F141*1.2/units!$B$20)*60)+((G141*1.2/units!$D$20)*60)+((H141*1.2/units!$E$20)*60))/60</f>
        <v>18.181818181818183</v>
      </c>
      <c r="U141" s="187">
        <f t="shared" si="66"/>
        <v>12.069990468531469</v>
      </c>
      <c r="V141" s="187">
        <f t="shared" si="67"/>
        <v>9.052492851398602</v>
      </c>
      <c r="W141" s="188">
        <f t="shared" si="68"/>
        <v>69.40244519405594</v>
      </c>
      <c r="X141" s="189"/>
      <c r="Y141" s="187">
        <f>(units!$B$4*(units!$B$25*F141*1.2+units!$D$25*G141*1.2+units!$E$25*H141*1.2)+(F141*1.2*units!$B$33+G141*1.2*units!$D$33+H141*1.2*units!$E$33)+(F141*1.2*units!$B$37+G141*1.2*units!$D$37+H141*1.2*units!$E$37))</f>
        <v>9.328905923076924</v>
      </c>
      <c r="Z141" s="187">
        <f>units!$F$10*(((F141*1.2/units!$B$21)*60)+((G141*1.2/units!$D$21)*60)+((H141*1.2/units!$E$21)*60))/60</f>
        <v>1.1691595441595444</v>
      </c>
      <c r="AA141" s="187">
        <f>units!$H$10*(((F141*1.2/units!$B$21)*60)+((G141*1.2/units!$D$21)*60)+((H141*1.2/units!$E$21)*60))/60</f>
        <v>11.784511784511784</v>
      </c>
      <c r="AB141" s="187">
        <f t="shared" si="69"/>
        <v>5.570644312937063</v>
      </c>
      <c r="AC141" s="187">
        <f t="shared" si="70"/>
        <v>4.177983234702797</v>
      </c>
      <c r="AD141" s="188">
        <f t="shared" si="71"/>
        <v>32.03120479938811</v>
      </c>
      <c r="AE141" s="190"/>
      <c r="AF141" s="188">
        <f>IF(E141=units!$N$8,P141,"")</f>
      </c>
      <c r="AG141" s="188">
        <f>IF(E141=units!$M$8,W141,"")</f>
      </c>
      <c r="AH141" s="188">
        <f>IF(E141=units!$L$8,AD141,"")</f>
        <v>32.03120479938811</v>
      </c>
      <c r="AI141" s="188">
        <f t="shared" si="72"/>
        <v>32.03120479938811</v>
      </c>
      <c r="AJ141" s="199">
        <v>2</v>
      </c>
      <c r="AK141" s="255">
        <f t="shared" si="73"/>
        <v>64.06240959877621</v>
      </c>
      <c r="AL141" s="256">
        <f t="shared" si="74"/>
        <v>11210.921679785837</v>
      </c>
      <c r="AM141" s="144"/>
      <c r="AN141" s="144"/>
      <c r="AO141" s="144"/>
    </row>
    <row r="142" spans="1:41" ht="15.75">
      <c r="A142" s="294">
        <v>133</v>
      </c>
      <c r="B142" s="191" t="s">
        <v>308</v>
      </c>
      <c r="C142" s="182">
        <v>1</v>
      </c>
      <c r="D142" s="191" t="s">
        <v>318</v>
      </c>
      <c r="E142" s="192" t="str">
        <f>IF(ISNUMBER(C142),IF(C142&lt;=units!$L$7,units!$L$8,IF(C142&lt;=units!$N$7,units!$M$8,IF(C142&gt;units!$O$8,"OXI",units!$N$8))),"--")</f>
        <v>TAXI</v>
      </c>
      <c r="F142" s="183">
        <v>0</v>
      </c>
      <c r="G142" s="184">
        <v>0</v>
      </c>
      <c r="H142" s="185">
        <v>25</v>
      </c>
      <c r="I142" s="186">
        <f t="shared" si="62"/>
        <v>25</v>
      </c>
      <c r="J142" s="282"/>
      <c r="K142" s="277">
        <f>(units!$B$4*(F142*1.2*units!$B$23+G142*1.2*units!$D$23+H142*1.2*units!$E$23))+(F142*1.2*units!$B$31+G142*1.2*units!$D$31+H142*1.2*units!$E$31)+(F142*1.2*units!$B$35+G142*1.2*units!$D$35+H142*1.2*units!$E$35)</f>
        <v>38.293412967032964</v>
      </c>
      <c r="L142" s="187">
        <f>units!$F$8*((F142*1.2/units!$B$19)*60+((G142*1.2/units!$D$19)*60)+((H142*1.2/units!$E$19)*60))/60</f>
        <v>6.939102564102565</v>
      </c>
      <c r="M142" s="187">
        <f>units!$H$8*((F142*1.2/units!$B$19)*60+((G142*1.2/units!$D$19)*60)+((H142*1.2/units!$E$19)*60))/60</f>
        <v>12.987012987012985</v>
      </c>
      <c r="N142" s="187">
        <f t="shared" si="63"/>
        <v>14.554882129537127</v>
      </c>
      <c r="O142" s="187">
        <f t="shared" si="64"/>
        <v>10.916161597152845</v>
      </c>
      <c r="P142" s="188">
        <f t="shared" si="65"/>
        <v>83.69057224483849</v>
      </c>
      <c r="Q142" s="189"/>
      <c r="R142" s="187">
        <f>(F142*1.2*units!$B$36+G142*1.2*units!$D$36+H142*1.2*units!$E$36)+(F142*1.2*units!$B$32+G142*1.2*units!$D$32+H142*1.2*units!$E$32)+(units!$B$4*(F142*1.2*units!$B$24+G142*1.2*units!$D$24+H142*1.2*units!$E$24))</f>
        <v>16.90045978021978</v>
      </c>
      <c r="S142" s="187">
        <f>units!$F$9*(((F142*1.2/units!$B$20)*60)+((G142*1.2/units!$D$20)*60)+((H142*1.2/units!$E$20)*60))/60</f>
        <v>4.598214285714286</v>
      </c>
      <c r="T142" s="187">
        <f>units!$H$9*(((F142*1.2/units!$B$20)*60)+((G142*1.2/units!$D$20)*60)+((H142*1.2/units!$E$20)*60))/60</f>
        <v>12.987012987012985</v>
      </c>
      <c r="U142" s="187">
        <f t="shared" si="66"/>
        <v>8.621421763236762</v>
      </c>
      <c r="V142" s="187">
        <f t="shared" si="67"/>
        <v>6.466066322427571</v>
      </c>
      <c r="W142" s="188">
        <f t="shared" si="68"/>
        <v>49.57317513861138</v>
      </c>
      <c r="X142" s="189"/>
      <c r="Y142" s="187">
        <f>(units!$B$4*(units!$B$25*F142*1.2+units!$D$25*G142*1.2+units!$E$25*H142*1.2)+(F142*1.2*units!$B$33+G142*1.2*units!$D$33+H142*1.2*units!$E$33)+(F142*1.2*units!$B$37+G142*1.2*units!$D$37+H142*1.2*units!$E$37))</f>
        <v>6.663504230769232</v>
      </c>
      <c r="Z142" s="187">
        <f>units!$F$10*(((F142*1.2/units!$B$21)*60)+((G142*1.2/units!$D$21)*60)+((H142*1.2/units!$E$21)*60))/60</f>
        <v>0.8351139601139602</v>
      </c>
      <c r="AA142" s="187">
        <f>units!$H$10*(((F142*1.2/units!$B$21)*60)+((G142*1.2/units!$D$21)*60)+((H142*1.2/units!$E$21)*60))/60</f>
        <v>8.417508417508419</v>
      </c>
      <c r="AB142" s="187">
        <f t="shared" si="69"/>
        <v>3.9790316520979028</v>
      </c>
      <c r="AC142" s="187">
        <f t="shared" si="70"/>
        <v>2.984273739073427</v>
      </c>
      <c r="AD142" s="188">
        <f t="shared" si="71"/>
        <v>22.87943199956294</v>
      </c>
      <c r="AE142" s="190"/>
      <c r="AF142" s="188">
        <f>IF(E142=units!$N$8,P142,"")</f>
      </c>
      <c r="AG142" s="188">
        <f>IF(E142=units!$M$8,W142,"")</f>
      </c>
      <c r="AH142" s="188">
        <f>IF(E142=units!$L$8,AD142,"")</f>
        <v>22.87943199956294</v>
      </c>
      <c r="AI142" s="188">
        <f t="shared" si="72"/>
        <v>22.87943199956294</v>
      </c>
      <c r="AJ142" s="199">
        <v>2</v>
      </c>
      <c r="AK142" s="255">
        <f t="shared" si="73"/>
        <v>45.75886399912588</v>
      </c>
      <c r="AL142" s="256">
        <f t="shared" si="74"/>
        <v>8007.801199847028</v>
      </c>
      <c r="AM142" s="144"/>
      <c r="AN142" s="144"/>
      <c r="AO142" s="144"/>
    </row>
    <row r="143" spans="1:41" ht="15.75">
      <c r="A143" s="294">
        <v>134</v>
      </c>
      <c r="B143" s="191" t="s">
        <v>308</v>
      </c>
      <c r="C143" s="182">
        <v>1</v>
      </c>
      <c r="D143" s="191" t="s">
        <v>320</v>
      </c>
      <c r="E143" s="192" t="str">
        <f>IF(ISNUMBER(C143),IF(C143&lt;=units!$L$7,units!$L$8,IF(C143&lt;=units!$N$7,units!$M$8,IF(C143&gt;units!$O$8,"OXI",units!$N$8))),"--")</f>
        <v>TAXI</v>
      </c>
      <c r="F143" s="183">
        <v>0</v>
      </c>
      <c r="G143" s="184">
        <v>20</v>
      </c>
      <c r="H143" s="185">
        <v>0</v>
      </c>
      <c r="I143" s="186">
        <f t="shared" si="62"/>
        <v>20</v>
      </c>
      <c r="J143" s="282"/>
      <c r="K143" s="277">
        <f>(units!$B$4*(F143*1.2*units!$B$23+G143*1.2*units!$D$23+H143*1.2*units!$E$23))+(F143*1.2*units!$B$31+G143*1.2*units!$D$31+H143*1.2*units!$E$31)+(F143*1.2*units!$B$35+G143*1.2*units!$D$35+H143*1.2*units!$E$35)</f>
        <v>19.422361846153848</v>
      </c>
      <c r="L143" s="187">
        <f>units!$F$8*((F143*1.2/units!$B$19)*60+((G143*1.2/units!$D$19)*60)+((H143*1.2/units!$E$19)*60))/60</f>
        <v>4.317663817663818</v>
      </c>
      <c r="M143" s="187">
        <f>units!$H$8*((F143*1.2/units!$B$19)*60+((G143*1.2/units!$D$19)*60)+((H143*1.2/units!$E$19)*60))/60</f>
        <v>8.080808080808081</v>
      </c>
      <c r="N143" s="187">
        <f t="shared" si="63"/>
        <v>7.955208436156436</v>
      </c>
      <c r="O143" s="187">
        <f t="shared" si="64"/>
        <v>5.966406327117327</v>
      </c>
      <c r="P143" s="188">
        <f t="shared" si="65"/>
        <v>45.74244850789951</v>
      </c>
      <c r="Q143" s="189"/>
      <c r="R143" s="187">
        <f>(F143*1.2*units!$B$36+G143*1.2*units!$D$36+H143*1.2*units!$E$36)+(F143*1.2*units!$B$32+G143*1.2*units!$D$32+H143*1.2*units!$E$32)+(units!$B$4*(F143*1.2*units!$B$24+G143*1.2*units!$D$24+H143*1.2*units!$E$24))</f>
        <v>10.567100307692307</v>
      </c>
      <c r="S143" s="187">
        <f>units!$F$9*(((F143*1.2/units!$B$20)*60)+((G143*1.2/units!$D$20)*60)+((H143*1.2/units!$E$20)*60))/60</f>
        <v>2.861111111111111</v>
      </c>
      <c r="T143" s="187">
        <f>units!$H$9*(((F143*1.2/units!$B$20)*60)+((G143*1.2/units!$D$20)*60)+((H143*1.2/units!$E$20)*60))/60</f>
        <v>8.080808080808081</v>
      </c>
      <c r="U143" s="187">
        <f t="shared" si="66"/>
        <v>5.377254874902874</v>
      </c>
      <c r="V143" s="187">
        <f t="shared" si="67"/>
        <v>4.032941156177156</v>
      </c>
      <c r="W143" s="188">
        <f t="shared" si="68"/>
        <v>30.919215530691528</v>
      </c>
      <c r="X143" s="189"/>
      <c r="Y143" s="187">
        <f>(units!$B$4*(units!$B$25*F143*1.2+units!$D$25*G143*1.2+units!$E$25*H143*1.2)+(F143*1.2*units!$B$33+G143*1.2*units!$D$33+H143*1.2*units!$E$33)+(F143*1.2*units!$B$37+G143*1.2*units!$D$37+H143*1.2*units!$E$37))</f>
        <v>4.558885678321678</v>
      </c>
      <c r="Z143" s="187">
        <f>units!$F$10*(((F143*1.2/units!$B$21)*60)+((G143*1.2/units!$D$21)*60)+((H143*1.2/units!$E$21)*60))/60</f>
        <v>0.5466200466200467</v>
      </c>
      <c r="AA143" s="187">
        <f>units!$H$10*(((F143*1.2/units!$B$21)*60)+((G143*1.2/units!$D$21)*60)+((H143*1.2/units!$E$21)*60))/60</f>
        <v>5.509641873278237</v>
      </c>
      <c r="AB143" s="187">
        <f t="shared" si="69"/>
        <v>2.6537868995549903</v>
      </c>
      <c r="AC143" s="187">
        <f t="shared" si="70"/>
        <v>1.9903401746662426</v>
      </c>
      <c r="AD143" s="188">
        <f t="shared" si="71"/>
        <v>15.259274672441194</v>
      </c>
      <c r="AE143" s="190"/>
      <c r="AF143" s="188">
        <f>IF(E143=units!$N$8,P143,"")</f>
      </c>
      <c r="AG143" s="188">
        <f>IF(E143=units!$M$8,W143,"")</f>
      </c>
      <c r="AH143" s="188">
        <f>IF(E143=units!$L$8,AD143,"")</f>
        <v>15.259274672441194</v>
      </c>
      <c r="AI143" s="188">
        <f t="shared" si="72"/>
        <v>15.259274672441194</v>
      </c>
      <c r="AJ143" s="199">
        <v>8</v>
      </c>
      <c r="AK143" s="255">
        <f t="shared" si="73"/>
        <v>122.07419737952955</v>
      </c>
      <c r="AL143" s="256">
        <f t="shared" si="74"/>
        <v>21362.98454141767</v>
      </c>
      <c r="AM143" s="144"/>
      <c r="AN143" s="144"/>
      <c r="AO143" s="144"/>
    </row>
    <row r="144" spans="1:41" ht="15.75">
      <c r="A144" s="294">
        <v>135</v>
      </c>
      <c r="B144" s="191" t="s">
        <v>308</v>
      </c>
      <c r="C144" s="182">
        <v>1</v>
      </c>
      <c r="D144" s="191" t="s">
        <v>319</v>
      </c>
      <c r="E144" s="192" t="str">
        <f>IF(ISNUMBER(C144),IF(C144&lt;=units!$L$7,units!$L$8,IF(C144&lt;=units!$N$7,units!$M$8,IF(C144&gt;units!$O$8,"OXI",units!$N$8))),"--")</f>
        <v>TAXI</v>
      </c>
      <c r="F144" s="183">
        <v>0</v>
      </c>
      <c r="G144" s="184">
        <v>18</v>
      </c>
      <c r="H144" s="185">
        <v>0</v>
      </c>
      <c r="I144" s="186">
        <f>IF(SUM(F144:H144)=0,"--",SUM(F144:H144))</f>
        <v>18</v>
      </c>
      <c r="J144" s="282"/>
      <c r="K144" s="277">
        <f>(units!$B$4*(F144*1.2*units!$B$23+G144*1.2*units!$D$23+H144*1.2*units!$E$23))+(F144*1.2*units!$B$31+G144*1.2*units!$D$31+H144*1.2*units!$E$31)+(F144*1.2*units!$B$35+G144*1.2*units!$D$35+H144*1.2*units!$E$35)</f>
        <v>17.48012566153846</v>
      </c>
      <c r="L144" s="187">
        <f>units!$F$8*((F144*1.2/units!$B$19)*60+((G144*1.2/units!$D$19)*60)+((H144*1.2/units!$E$19)*60))/60</f>
        <v>3.885897435897436</v>
      </c>
      <c r="M144" s="187">
        <f>units!$H$8*((F144*1.2/units!$B$19)*60+((G144*1.2/units!$D$19)*60)+((H144*1.2/units!$E$19)*60))/60</f>
        <v>7.272727272727272</v>
      </c>
      <c r="N144" s="187">
        <f>0.25*(K144+L144+M144)</f>
        <v>7.1596875925407915</v>
      </c>
      <c r="O144" s="187">
        <f>0.15*(K144+L144+M144+N144)</f>
        <v>5.369765694405594</v>
      </c>
      <c r="P144" s="188">
        <f>SUM(K144:O144)</f>
        <v>41.16820365710955</v>
      </c>
      <c r="Q144" s="189"/>
      <c r="R144" s="187">
        <f>(F144*1.2*units!$B$36+G144*1.2*units!$D$36+H144*1.2*units!$E$36)+(F144*1.2*units!$B$32+G144*1.2*units!$D$32+H144*1.2*units!$E$32)+(units!$B$4*(F144*1.2*units!$B$24+G144*1.2*units!$D$24+H144*1.2*units!$E$24))</f>
        <v>9.510390276923076</v>
      </c>
      <c r="S144" s="187">
        <f>units!$F$9*(((F144*1.2/units!$B$20)*60)+((G144*1.2/units!$D$20)*60)+((H144*1.2/units!$E$20)*60))/60</f>
        <v>2.5749999999999997</v>
      </c>
      <c r="T144" s="187">
        <f>units!$H$9*(((F144*1.2/units!$B$20)*60)+((G144*1.2/units!$D$20)*60)+((H144*1.2/units!$E$20)*60))/60</f>
        <v>7.272727272727272</v>
      </c>
      <c r="U144" s="187">
        <f>0.25*(R144+S144+T144)</f>
        <v>4.839529387412586</v>
      </c>
      <c r="V144" s="187">
        <f>0.15*(R144+S144+T144+U144)</f>
        <v>3.6296470405594397</v>
      </c>
      <c r="W144" s="188">
        <f>SUM(R144:V144)</f>
        <v>27.82729397762237</v>
      </c>
      <c r="X144" s="189"/>
      <c r="Y144" s="187">
        <f>(units!$B$4*(units!$B$25*F144*1.2+units!$D$25*G144*1.2+units!$E$25*H144*1.2)+(F144*1.2*units!$B$33+G144*1.2*units!$D$33+H144*1.2*units!$E$33)+(F144*1.2*units!$B$37+G144*1.2*units!$D$37+H144*1.2*units!$E$37))</f>
        <v>4.10299711048951</v>
      </c>
      <c r="Z144" s="187">
        <f>units!$F$10*(((F144*1.2/units!$B$21)*60)+((G144*1.2/units!$D$21)*60)+((H144*1.2/units!$E$21)*60))/60</f>
        <v>0.491958041958042</v>
      </c>
      <c r="AA144" s="187">
        <f>units!$H$10*(((F144*1.2/units!$B$21)*60)+((G144*1.2/units!$D$21)*60)+((H144*1.2/units!$E$21)*60))/60</f>
        <v>4.958677685950414</v>
      </c>
      <c r="AB144" s="187">
        <f>0.25*(Y144+Z144+AA144)</f>
        <v>2.3884082095994916</v>
      </c>
      <c r="AC144" s="187">
        <f>0.15*(Y144+Z144+AA144+AB144)</f>
        <v>1.7913061571996187</v>
      </c>
      <c r="AD144" s="188">
        <f>SUM(Y144:AC144)</f>
        <v>13.733347205197077</v>
      </c>
      <c r="AE144" s="190"/>
      <c r="AF144" s="188">
        <f>IF(E144=units!$N$8,P144,"")</f>
      </c>
      <c r="AG144" s="188">
        <f>IF(E144=units!$M$8,W144,"")</f>
      </c>
      <c r="AH144" s="188">
        <f>IF(E144=units!$L$8,AD144,"")</f>
        <v>13.733347205197077</v>
      </c>
      <c r="AI144" s="188">
        <f>IF(SUM(AF144:AH144)&gt;0,SUM(AF144:AH144),"")</f>
        <v>13.733347205197077</v>
      </c>
      <c r="AJ144" s="199">
        <v>8</v>
      </c>
      <c r="AK144" s="255">
        <f>AI144*AJ144</f>
        <v>109.86677764157662</v>
      </c>
      <c r="AL144" s="256">
        <f t="shared" si="74"/>
        <v>19226.68608727591</v>
      </c>
      <c r="AM144" s="144"/>
      <c r="AN144" s="144"/>
      <c r="AO144" s="144"/>
    </row>
    <row r="145" spans="1:41" ht="16.5" thickBot="1">
      <c r="A145" s="297">
        <v>136</v>
      </c>
      <c r="B145" s="298" t="s">
        <v>321</v>
      </c>
      <c r="C145" s="299">
        <v>9</v>
      </c>
      <c r="D145" s="298" t="s">
        <v>138</v>
      </c>
      <c r="E145" s="300" t="str">
        <f>IF(ISNUMBER(C145),IF(C145&lt;=units!$L$7,units!$L$8,IF(C145&lt;=units!$N$7,units!$M$8,IF(C145&gt;units!$O$8,"OXI",units!$N$8))),"--")</f>
        <v>MINI</v>
      </c>
      <c r="F145" s="301">
        <v>11</v>
      </c>
      <c r="G145" s="302">
        <v>0</v>
      </c>
      <c r="H145" s="303">
        <v>0</v>
      </c>
      <c r="I145" s="304">
        <f>IF(SUM(F145:H145)=0,"--",SUM(F145:H145))</f>
        <v>11</v>
      </c>
      <c r="J145" s="282"/>
      <c r="K145" s="277">
        <f>(units!$B$4*(F145*1.2*units!$B$23+G145*1.2*units!$D$23+H145*1.2*units!$E$23))+(F145*1.2*units!$B$31+G145*1.2*units!$D$31+H145*1.2*units!$E$31)+(F145*1.2*units!$B$35+G145*1.2*units!$D$35+H145*1.2*units!$E$35)</f>
        <v>17.095930246153845</v>
      </c>
      <c r="L145" s="187">
        <f>units!$F$8*((F145*1.2/units!$B$19)*60+((G145*1.2/units!$D$19)*60)+((H145*1.2/units!$E$19)*60))/60</f>
        <v>7.1241452991453</v>
      </c>
      <c r="M145" s="187">
        <f>units!$H$8*((F145*1.2/units!$B$19)*60+((G145*1.2/units!$D$19)*60)+((H145*1.2/units!$E$19)*60))/60</f>
        <v>13.333333333333334</v>
      </c>
      <c r="N145" s="187">
        <f>0.25*(K145+L145+M145)</f>
        <v>9.38835221965812</v>
      </c>
      <c r="O145" s="187">
        <f>0.15*(K145+L145+M145+N145)</f>
        <v>7.041264164743589</v>
      </c>
      <c r="P145" s="188">
        <f>SUM(K145:O145)</f>
        <v>53.983025263034186</v>
      </c>
      <c r="Q145" s="189"/>
      <c r="R145" s="187">
        <f>(F145*1.2*units!$B$36+G145*1.2*units!$D$36+H145*1.2*units!$E$36)+(F145*1.2*units!$B$32+G145*1.2*units!$D$32+H145*1.2*units!$E$32)+(units!$B$4*(F145*1.2*units!$B$24+G145*1.2*units!$D$24+H145*1.2*units!$E$24))</f>
        <v>8.308622723076923</v>
      </c>
      <c r="S145" s="187">
        <f>units!$F$9*(((F145*1.2/units!$B$20)*60)+((G145*1.2/units!$D$20)*60)+((H145*1.2/units!$E$20)*60))/60</f>
        <v>3.9340277777777777</v>
      </c>
      <c r="T145" s="187">
        <f>units!$H$9*(((F145*1.2/units!$B$20)*60)+((G145*1.2/units!$D$20)*60)+((H145*1.2/units!$E$20)*60))/60</f>
        <v>11.111111111111112</v>
      </c>
      <c r="U145" s="187">
        <f>0.25*(R145+S145+T145)</f>
        <v>5.838440402991454</v>
      </c>
      <c r="V145" s="187">
        <f>0.15*(R145+S145+T145+U145)</f>
        <v>4.37883030224359</v>
      </c>
      <c r="W145" s="188">
        <f>SUM(R145:V145)</f>
        <v>33.57103231720086</v>
      </c>
      <c r="X145" s="189"/>
      <c r="Y145" s="187">
        <f>(units!$B$4*(units!$B$25*F145*1.2+units!$D$25*G145*1.2+units!$E$25*H145*1.2)+(F145*1.2*units!$B$33+G145*1.2*units!$D$33+H145*1.2*units!$E$33)+(F145*1.2*units!$B$37+G145*1.2*units!$D$37+H145*1.2*units!$E$37))</f>
        <v>2.856251792307692</v>
      </c>
      <c r="Z145" s="187">
        <f>units!$F$10*(((F145*1.2/units!$B$21)*60)+((G145*1.2/units!$D$21)*60)+((H145*1.2/units!$E$21)*60))/60</f>
        <v>0.5511752136752137</v>
      </c>
      <c r="AA145" s="187">
        <f>units!$H$10*(((F145*1.2/units!$B$21)*60)+((G145*1.2/units!$D$21)*60)+((H145*1.2/units!$E$21)*60))/60</f>
        <v>5.555555555555555</v>
      </c>
      <c r="AB145" s="187">
        <f>0.25*(Y145+Z145+AA145)</f>
        <v>2.240745640384615</v>
      </c>
      <c r="AC145" s="187">
        <f>0.15*(Y145+Z145+AA145+AB145)</f>
        <v>1.6805592302884613</v>
      </c>
      <c r="AD145" s="188">
        <f>SUM(Y145:AC145)</f>
        <v>12.884287432211536</v>
      </c>
      <c r="AE145" s="190"/>
      <c r="AF145" s="188">
        <f>IF(E145=units!$N$8,P145,"")</f>
      </c>
      <c r="AG145" s="188">
        <f>IF(E145=units!$M$8,W145,"")</f>
        <v>33.57103231720086</v>
      </c>
      <c r="AH145" s="188">
        <f>IF(E145=units!$L$8,AD145,"")</f>
      </c>
      <c r="AI145" s="188">
        <f>IF(SUM(AF145:AH145)&gt;0,SUM(AF145:AH145),"")</f>
        <v>33.57103231720086</v>
      </c>
      <c r="AJ145" s="199">
        <v>4</v>
      </c>
      <c r="AK145" s="255">
        <f>AI145*AJ145</f>
        <v>134.28412926880344</v>
      </c>
      <c r="AL145" s="256">
        <f t="shared" si="74"/>
        <v>23499.7226220406</v>
      </c>
      <c r="AM145" s="144"/>
      <c r="AN145" s="254"/>
      <c r="AO145" s="254"/>
    </row>
    <row r="146" spans="3:38" ht="15">
      <c r="C146" s="131">
        <f>SUM(C10:C145)</f>
        <v>1968</v>
      </c>
      <c r="AL146" s="233">
        <f>SUM(AL10:AL145)</f>
        <v>2237358.4284800375</v>
      </c>
    </row>
    <row r="147" ht="15.75" thickBot="1">
      <c r="AL147" s="233"/>
    </row>
    <row r="148" spans="35:38" ht="15">
      <c r="AI148" s="269" t="s">
        <v>323</v>
      </c>
      <c r="AJ148" s="270"/>
      <c r="AK148" s="270"/>
      <c r="AL148" s="234">
        <v>2237358.43</v>
      </c>
    </row>
    <row r="149" spans="35:38" ht="15">
      <c r="AI149" s="271" t="s">
        <v>324</v>
      </c>
      <c r="AJ149" s="272"/>
      <c r="AK149" s="272"/>
      <c r="AL149" s="235">
        <v>2528215.03</v>
      </c>
    </row>
    <row r="150" spans="35:38" ht="63.75" customHeight="1" thickBot="1">
      <c r="AI150" s="273" t="s">
        <v>325</v>
      </c>
      <c r="AJ150" s="274"/>
      <c r="AK150" s="274"/>
      <c r="AL150" s="236">
        <v>2684830.12</v>
      </c>
    </row>
    <row r="154" spans="4:32" ht="15">
      <c r="D154" s="259" t="s">
        <v>327</v>
      </c>
      <c r="AF154" s="260" t="s">
        <v>328</v>
      </c>
    </row>
    <row r="158" spans="4:32" ht="15">
      <c r="D158" s="259" t="s">
        <v>329</v>
      </c>
      <c r="AF158" s="260" t="s">
        <v>330</v>
      </c>
    </row>
    <row r="160" spans="4:32" ht="15">
      <c r="D160" s="131" t="s">
        <v>331</v>
      </c>
      <c r="AF160" s="127" t="s">
        <v>332</v>
      </c>
    </row>
  </sheetData>
  <sheetProtection/>
  <mergeCells count="6">
    <mergeCell ref="AK8:AK9"/>
    <mergeCell ref="J1:J9"/>
    <mergeCell ref="AL8:AL9"/>
    <mergeCell ref="AI148:AK148"/>
    <mergeCell ref="AI149:AK149"/>
    <mergeCell ref="AI150:AK150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Spyros</dc:creator>
  <cp:keywords/>
  <dc:description/>
  <cp:lastModifiedBy>Το όνομα χρήστη σας</cp:lastModifiedBy>
  <cp:lastPrinted>2012-07-09T10:36:03Z</cp:lastPrinted>
  <dcterms:created xsi:type="dcterms:W3CDTF">2010-11-19T06:03:05Z</dcterms:created>
  <dcterms:modified xsi:type="dcterms:W3CDTF">2012-07-16T06:27:50Z</dcterms:modified>
  <cp:category/>
  <cp:version/>
  <cp:contentType/>
  <cp:contentStatus/>
</cp:coreProperties>
</file>